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omments3.xml" ContentType="application/vnd.openxmlformats-officedocument.spreadsheetml.comments+xml"/>
  <Override PartName="/xl/threadedComments/threadedComment1.xml" ContentType="application/vnd.ms-excel.threadedcomments+xml"/>
  <Override PartName="/xl/comments4.xml" ContentType="application/vnd.openxmlformats-officedocument.spreadsheetml.comments+xml"/>
  <Override PartName="/xl/drawings/drawing2.xml" ContentType="application/vnd.openxmlformats-officedocument.drawing+xml"/>
  <Override PartName="/xl/comments5.xml" ContentType="application/vnd.openxmlformats-officedocument.spreadsheetml.comments+xml"/>
  <Override PartName="/xl/drawings/drawing3.xml" ContentType="application/vnd.openxmlformats-officedocument.drawing+xml"/>
  <Override PartName="/xl/comments6.xml" ContentType="application/vnd.openxmlformats-officedocument.spreadsheetml.comments+xml"/>
  <Override PartName="/xl/drawings/drawing4.xml" ContentType="application/vnd.openxmlformats-officedocument.drawing+xml"/>
  <Override PartName="/xl/comments7.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3"/>
  <workbookPr codeName="ThisWorkbook" defaultThemeVersion="124226"/>
  <mc:AlternateContent xmlns:mc="http://schemas.openxmlformats.org/markup-compatibility/2006">
    <mc:Choice Requires="x15">
      <x15ac:absPath xmlns:x15ac="http://schemas.microsoft.com/office/spreadsheetml/2010/11/ac" url="/Users/bmac/Downloads/"/>
    </mc:Choice>
  </mc:AlternateContent>
  <xr:revisionPtr revIDLastSave="0" documentId="13_ncr:1_{3899434A-BB83-D444-AB98-BBBA451D1715}" xr6:coauthVersionLast="45" xr6:coauthVersionMax="45" xr10:uidLastSave="{00000000-0000-0000-0000-000000000000}"/>
  <bookViews>
    <workbookView xWindow="0" yWindow="0" windowWidth="28800" windowHeight="18000" firstSheet="1" activeTab="5" xr2:uid="{00000000-000D-0000-FFFF-FFFF00000000}"/>
  </bookViews>
  <sheets>
    <sheet name="Possible_Comps" sheetId="11" r:id="rId1"/>
    <sheet name="Selecting_Comps" sheetId="12" r:id="rId2"/>
    <sheet name="Financial Ratios " sheetId="3" r:id="rId3"/>
    <sheet name="Football Field Chart" sheetId="21" r:id="rId4"/>
    <sheet name="EXPE_Comps" sheetId="13" r:id="rId5"/>
    <sheet name="DCF" sheetId="8" r:id="rId6"/>
    <sheet name="Options Value" sheetId="10" r:id="rId7"/>
    <sheet name="Balance Sheet" sheetId="4" r:id="rId8"/>
    <sheet name="Income Statement" sheetId="5" r:id="rId9"/>
    <sheet name="Cash Flow" sheetId="9" r:id="rId10"/>
    <sheet name="Common Size Balance Sheet" sheetId="1" r:id="rId11"/>
    <sheet name="Common Size Income Statement" sheetId="2" r:id="rId12"/>
    <sheet name="Comparisons 2014-2018" sheetId="6" r:id="rId13"/>
    <sheet name="Comparisons 2018" sheetId="7" r:id="rId14"/>
    <sheet name="EXPE_LTM" sheetId="20" r:id="rId15"/>
    <sheet name="BKNG_LTM" sheetId="14" r:id="rId16"/>
    <sheet name="TRIP_LTM" sheetId="16" r:id="rId17"/>
    <sheet name="SABR_LTM" sheetId="17" r:id="rId18"/>
    <sheet name="MAR_LTM" sheetId="18" r:id="rId19"/>
    <sheet name="HLT_LTM" sheetId="19" r:id="rId20"/>
    <sheet name="TCOM_LTM" sheetId="15" r:id="rId21"/>
  </sheets>
  <externalReferences>
    <externalReference r:id="rId22"/>
    <externalReference r:id="rId23"/>
    <externalReference r:id="rId24"/>
    <externalReference r:id="rId25"/>
  </externalReferences>
  <definedNames>
    <definedName name="AXL_Debt" localSheetId="4">[1]AXL_BS!$B$65</definedName>
    <definedName name="AXL_Debt">[2]AXL_BS!$B$65</definedName>
    <definedName name="BEA_Debt" localSheetId="15">#REF!</definedName>
    <definedName name="BEA_Debt" localSheetId="4">#REF!</definedName>
    <definedName name="BEA_Debt" localSheetId="14">#REF!</definedName>
    <definedName name="BEA_Debt" localSheetId="19">#REF!</definedName>
    <definedName name="BEA_Debt" localSheetId="18">#REF!</definedName>
    <definedName name="BEA_Debt" localSheetId="17">#REF!</definedName>
    <definedName name="BEA_Debt" localSheetId="20">#REF!</definedName>
    <definedName name="BEA_Debt" localSheetId="16">#REF!</definedName>
    <definedName name="BEA_Debt">#REF!</definedName>
    <definedName name="BWA_Debt" localSheetId="4">[1]BWA_BS!$B$111</definedName>
    <definedName name="BWA_Debt">[2]BWA_BS!$B$111</definedName>
    <definedName name="CIQWBGuid" hidden="1">"d0998759-8ba7-4210-8fa6-7a4a90d99731"</definedName>
    <definedName name="DAN_Debt" localSheetId="4">[1]DAN_BS!$B$94</definedName>
    <definedName name="DAN_Debt">[2]DAN_BS!$B$94</definedName>
    <definedName name="GNTX_NCI" localSheetId="4">[1]GNTX_LTM!$E$13</definedName>
    <definedName name="GNTX_NCI">[2]GNTX_LTM!$E$13</definedName>
    <definedName name="GNTX_Net_Debt" localSheetId="4">[1]GNTX_LTM!$E$11</definedName>
    <definedName name="GNTX_Net_Debt">[2]GNTX_LTM!$E$11</definedName>
    <definedName name="GNTX_PS" localSheetId="4">[1]GNTX_LTM!$E$12</definedName>
    <definedName name="GNTX_PS">[2]GNTX_LTM!$E$12</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localSheetId="15" hidden="1">42786.9531828704</definedName>
    <definedName name="IQ_NAMES_REVISION_DATE_" localSheetId="4" hidden="1">42765.9361458333</definedName>
    <definedName name="IQ_NAMES_REVISION_DATE_" localSheetId="14" hidden="1">42786.9531828704</definedName>
    <definedName name="IQ_NAMES_REVISION_DATE_" localSheetId="19" hidden="1">42786.9531828704</definedName>
    <definedName name="IQ_NAMES_REVISION_DATE_" localSheetId="18" hidden="1">42786.9531828704</definedName>
    <definedName name="IQ_NAMES_REVISION_DATE_" localSheetId="0" hidden="1">43011.9007060185</definedName>
    <definedName name="IQ_NAMES_REVISION_DATE_" localSheetId="17" hidden="1">42786.9531828704</definedName>
    <definedName name="IQ_NAMES_REVISION_DATE_" localSheetId="1" hidden="1">43011.9007060185</definedName>
    <definedName name="IQ_NAMES_REVISION_DATE_" localSheetId="20" hidden="1">42786.9531828704</definedName>
    <definedName name="IQ_NAMES_REVISION_DATE_" localSheetId="16" hidden="1">42786.9531828704</definedName>
    <definedName name="IQ_NAMES_REVISION_DATE_" hidden="1">43694.9834837963</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Krispy_Cash_LQ" localSheetId="15">[3]KKD_BS_LQ!$B$3</definedName>
    <definedName name="Krispy_Cash_LQ" localSheetId="4">#REF!</definedName>
    <definedName name="Krispy_Cash_LQ" localSheetId="14">[3]KKD_BS_LQ!$B$3</definedName>
    <definedName name="Krispy_Cash_LQ" localSheetId="19">[3]KKD_BS_LQ!$B$3</definedName>
    <definedName name="Krispy_Cash_LQ" localSheetId="18">[3]KKD_BS_LQ!$B$3</definedName>
    <definedName name="Krispy_Cash_LQ" localSheetId="17">[3]KKD_BS_LQ!$B$3</definedName>
    <definedName name="Krispy_Cash_LQ" localSheetId="20">[3]KKD_BS_LQ!$B$3</definedName>
    <definedName name="Krispy_Cash_LQ" localSheetId="16">[3]KKD_BS_LQ!$B$3</definedName>
    <definedName name="Krispy_Cash_LQ">[4]KKD_BS_LQ!$B$3</definedName>
    <definedName name="Krispy_EBITDA_LTM" localSheetId="15">[3]KKD_LTM!$E$6</definedName>
    <definedName name="Krispy_EBITDA_LTM" localSheetId="14">[3]KKD_LTM!$E$6</definedName>
    <definedName name="Krispy_EBITDA_LTM" localSheetId="19">[3]KKD_LTM!$E$6</definedName>
    <definedName name="Krispy_EBITDA_LTM" localSheetId="18">[3]KKD_LTM!$E$6</definedName>
    <definedName name="Krispy_EBITDA_LTM" localSheetId="17">[3]KKD_LTM!$E$6</definedName>
    <definedName name="Krispy_EBITDA_LTM" localSheetId="20">[3]KKD_LTM!$E$6</definedName>
    <definedName name="Krispy_EBITDA_LTM" localSheetId="16">[3]KKD_LTM!$E$6</definedName>
    <definedName name="Krispy_EBITDA_LTM">[4]KKD_LTM!$E$6</definedName>
    <definedName name="LEA_Debt" localSheetId="4">[1]LEA_BS!$B$58</definedName>
    <definedName name="LEA_Debt">[2]LEA_BS!$B$58</definedName>
    <definedName name="THRM_Debt" localSheetId="4">[1]THRM_BS!$B$78</definedName>
    <definedName name="THRM_Debt">[2]THRM_BS!$B$78</definedName>
    <definedName name="VC_Debt" localSheetId="4">[1]VC_BS!$B$109</definedName>
    <definedName name="VC_Debt">[2]VC_BS!$B$109</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4" i="8" l="1"/>
  <c r="G24" i="3" l="1"/>
  <c r="F24" i="3"/>
  <c r="E24" i="3"/>
  <c r="D24" i="3"/>
  <c r="G19" i="3"/>
  <c r="F19" i="3"/>
  <c r="E19" i="3"/>
  <c r="D19" i="3"/>
  <c r="H22" i="3"/>
  <c r="G18" i="3" l="1"/>
  <c r="F18" i="3"/>
  <c r="E18" i="3"/>
  <c r="D18" i="3"/>
  <c r="G11" i="3" l="1"/>
  <c r="F11" i="3"/>
  <c r="E11" i="3"/>
  <c r="D11" i="3"/>
  <c r="G10" i="3"/>
  <c r="F10" i="3"/>
  <c r="E10" i="3"/>
  <c r="D10" i="3"/>
  <c r="C6" i="3"/>
  <c r="G6" i="3"/>
  <c r="F6" i="3"/>
  <c r="E6" i="3"/>
  <c r="D6" i="3"/>
  <c r="G22" i="3" l="1"/>
  <c r="F22" i="3"/>
  <c r="E22" i="3"/>
  <c r="D22" i="3"/>
  <c r="C22" i="3"/>
  <c r="D4" i="3"/>
  <c r="E4" i="3" s="1"/>
  <c r="F4" i="3" s="1"/>
  <c r="G4" i="3" s="1"/>
  <c r="D189" i="8" l="1"/>
  <c r="D188" i="8"/>
  <c r="D187" i="8"/>
  <c r="D185" i="8"/>
  <c r="D184" i="8"/>
  <c r="D183" i="8"/>
  <c r="D182" i="8"/>
  <c r="D181" i="8"/>
  <c r="C169" i="8" l="1"/>
  <c r="C170" i="8" s="1"/>
  <c r="C171" i="8" s="1"/>
  <c r="C172" i="8" s="1"/>
  <c r="C173" i="8" s="1"/>
  <c r="C174" i="8" s="1"/>
  <c r="I49" i="8" l="1"/>
  <c r="K9" i="21" l="1"/>
  <c r="J19" i="8"/>
  <c r="I19" i="8"/>
  <c r="H19" i="8"/>
  <c r="G19" i="8"/>
  <c r="F19" i="8"/>
  <c r="G13" i="21" l="1"/>
  <c r="H12" i="21"/>
  <c r="F12" i="21"/>
  <c r="H158" i="8"/>
  <c r="G158" i="8" s="1"/>
  <c r="F158" i="8" s="1"/>
  <c r="E158" i="8" s="1"/>
  <c r="D158" i="8" s="1"/>
  <c r="J12" i="21" s="1"/>
  <c r="J158" i="8" l="1"/>
  <c r="K158" i="8" s="1"/>
  <c r="L158" i="8" s="1"/>
  <c r="M158" i="8" s="1"/>
  <c r="N158" i="8" s="1"/>
  <c r="K12" i="21" s="1"/>
  <c r="C12" i="21" s="1"/>
  <c r="J11" i="21" l="1"/>
  <c r="G12" i="21"/>
  <c r="H11" i="21"/>
  <c r="F11" i="21"/>
  <c r="M13" i="21"/>
  <c r="M12" i="21"/>
  <c r="M11" i="21"/>
  <c r="M10" i="21"/>
  <c r="M9" i="21"/>
  <c r="G11" i="21" l="1"/>
  <c r="P12" i="13"/>
  <c r="P11" i="13"/>
  <c r="P10" i="13"/>
  <c r="P15" i="13" s="1"/>
  <c r="P21" i="13" s="1"/>
  <c r="P9" i="13"/>
  <c r="P8" i="13"/>
  <c r="F8" i="13"/>
  <c r="P16" i="13" l="1"/>
  <c r="P17" i="13"/>
  <c r="P14" i="13"/>
  <c r="O9" i="13" l="1"/>
  <c r="O10" i="13"/>
  <c r="O11" i="13"/>
  <c r="O12" i="13"/>
  <c r="O8" i="13"/>
  <c r="M9" i="13"/>
  <c r="M10" i="13"/>
  <c r="N10" i="13" s="1"/>
  <c r="M11" i="13"/>
  <c r="N11" i="13" s="1"/>
  <c r="M12" i="13"/>
  <c r="N12" i="13" s="1"/>
  <c r="M8" i="13"/>
  <c r="N8" i="13" s="1"/>
  <c r="F12" i="13"/>
  <c r="F11" i="13"/>
  <c r="G11" i="13" s="1"/>
  <c r="F9" i="13"/>
  <c r="B7" i="20"/>
  <c r="G7" i="20" s="1"/>
  <c r="I8" i="13" s="1"/>
  <c r="G6" i="20"/>
  <c r="H8" i="13" s="1"/>
  <c r="G5" i="20"/>
  <c r="B7" i="15"/>
  <c r="G7" i="15" s="1"/>
  <c r="B7" i="19"/>
  <c r="G7" i="19" s="1"/>
  <c r="G6" i="19"/>
  <c r="G5" i="19"/>
  <c r="B7" i="18"/>
  <c r="G7" i="18" s="1"/>
  <c r="G6" i="18"/>
  <c r="G5" i="18"/>
  <c r="B7" i="17"/>
  <c r="G7" i="17" s="1"/>
  <c r="G6" i="17"/>
  <c r="G5" i="17"/>
  <c r="G11" i="16"/>
  <c r="F10" i="13" s="1"/>
  <c r="B7" i="16"/>
  <c r="G7" i="16" s="1"/>
  <c r="G6" i="16"/>
  <c r="G5" i="16"/>
  <c r="B7" i="14"/>
  <c r="G6" i="15"/>
  <c r="G5" i="15"/>
  <c r="H12" i="13" l="1"/>
  <c r="G8" i="13"/>
  <c r="F21" i="13"/>
  <c r="F22" i="13"/>
  <c r="E22" i="13" s="1"/>
  <c r="G10" i="13"/>
  <c r="I10" i="13"/>
  <c r="H10" i="13"/>
  <c r="H11" i="13"/>
  <c r="O17" i="13"/>
  <c r="O14" i="13"/>
  <c r="O16" i="13"/>
  <c r="O32" i="13" s="1"/>
  <c r="E32" i="13" s="1"/>
  <c r="O15" i="13"/>
  <c r="O31" i="13" s="1"/>
  <c r="E31" i="13" s="1"/>
  <c r="I11" i="13"/>
  <c r="I12" i="13"/>
  <c r="M17" i="13"/>
  <c r="M16" i="13"/>
  <c r="M27" i="13" s="1"/>
  <c r="C27" i="13" s="1"/>
  <c r="M14" i="13"/>
  <c r="M15" i="13"/>
  <c r="M28" i="13" s="1"/>
  <c r="C28" i="13" s="1"/>
  <c r="N9" i="13"/>
  <c r="G12" i="13"/>
  <c r="G7" i="14"/>
  <c r="I9" i="13" s="1"/>
  <c r="G6" i="14"/>
  <c r="H9" i="13" s="1"/>
  <c r="G5" i="14"/>
  <c r="G9" i="13" s="1"/>
  <c r="H17" i="13" l="1"/>
  <c r="H16" i="13"/>
  <c r="H23" i="13" s="1"/>
  <c r="F23" i="13" s="1"/>
  <c r="E23" i="13" s="1"/>
  <c r="H15" i="13"/>
  <c r="H24" i="13" s="1"/>
  <c r="F24" i="13" s="1"/>
  <c r="E24" i="13" s="1"/>
  <c r="H14" i="13"/>
  <c r="I17" i="13"/>
  <c r="I15" i="13"/>
  <c r="I26" i="13" s="1"/>
  <c r="I14" i="13"/>
  <c r="I16" i="13"/>
  <c r="I25" i="13" s="1"/>
  <c r="G17" i="13"/>
  <c r="G15" i="13"/>
  <c r="G14" i="13"/>
  <c r="G16" i="13"/>
  <c r="N17" i="13"/>
  <c r="N16" i="13"/>
  <c r="N29" i="13" s="1"/>
  <c r="C29" i="13" s="1"/>
  <c r="N15" i="13"/>
  <c r="N30" i="13" s="1"/>
  <c r="C30" i="13" s="1"/>
  <c r="N14" i="13"/>
  <c r="F25" i="13" l="1"/>
  <c r="E25" i="13" s="1"/>
  <c r="J10" i="21"/>
  <c r="E21" i="13"/>
  <c r="J9" i="21"/>
  <c r="C9" i="21" s="1"/>
  <c r="F26" i="13"/>
  <c r="E26" i="13" s="1"/>
  <c r="K10" i="21"/>
  <c r="F113" i="8"/>
  <c r="C10" i="21" l="1"/>
  <c r="K11" i="21"/>
  <c r="C11" i="21" s="1"/>
  <c r="F142" i="8" l="1"/>
  <c r="F141" i="8"/>
  <c r="F140" i="8"/>
  <c r="F139" i="8"/>
  <c r="E10" i="10" l="1"/>
  <c r="G17" i="10" s="1"/>
  <c r="E9" i="10"/>
  <c r="G16" i="10" s="1"/>
  <c r="E4" i="10"/>
  <c r="D17" i="10" s="1"/>
  <c r="D19" i="10" s="1"/>
  <c r="G20" i="10"/>
  <c r="D20" i="10"/>
  <c r="G19" i="10"/>
  <c r="G18" i="10"/>
  <c r="S42" i="8"/>
  <c r="N90" i="8"/>
  <c r="S49" i="8" s="1"/>
  <c r="N84" i="8"/>
  <c r="N92" i="8" s="1"/>
  <c r="I89" i="8"/>
  <c r="I90" i="8" l="1"/>
  <c r="I91" i="8" s="1"/>
  <c r="I92" i="8" s="1"/>
  <c r="S48" i="8"/>
  <c r="N51" i="8"/>
  <c r="G21" i="10"/>
  <c r="I51" i="8" l="1"/>
  <c r="D22" i="13" s="1"/>
  <c r="C22" i="13" s="1"/>
  <c r="H9" i="21" s="1"/>
  <c r="N49" i="8"/>
  <c r="G119" i="8"/>
  <c r="G128" i="8" s="1"/>
  <c r="D24" i="13" l="1"/>
  <c r="C24" i="13" s="1"/>
  <c r="D25" i="13"/>
  <c r="C25" i="13" s="1"/>
  <c r="F10" i="21" s="1"/>
  <c r="D32" i="13"/>
  <c r="C32" i="13" s="1"/>
  <c r="D26" i="13"/>
  <c r="C26" i="13" s="1"/>
  <c r="H10" i="21" s="1"/>
  <c r="D31" i="13"/>
  <c r="C31" i="13" s="1"/>
  <c r="D23" i="13"/>
  <c r="C23" i="13" s="1"/>
  <c r="D21" i="13"/>
  <c r="C21" i="13" s="1"/>
  <c r="G129" i="8"/>
  <c r="G131" i="8" s="1"/>
  <c r="I40" i="8" s="1"/>
  <c r="D149" i="8"/>
  <c r="G141" i="8"/>
  <c r="G139" i="8"/>
  <c r="I139" i="8" s="1"/>
  <c r="M77" i="8"/>
  <c r="N77" i="8" s="1"/>
  <c r="O77" i="8" s="1"/>
  <c r="F116" i="8"/>
  <c r="G10" i="21" l="1"/>
  <c r="F9" i="21"/>
  <c r="F119" i="8"/>
  <c r="D148" i="8"/>
  <c r="F118" i="8"/>
  <c r="G9" i="21" l="1"/>
  <c r="J20" i="8"/>
  <c r="I20" i="8"/>
  <c r="H20" i="8"/>
  <c r="G20" i="8"/>
  <c r="F20" i="8"/>
  <c r="F14" i="8"/>
  <c r="F13" i="8"/>
  <c r="J34" i="8" l="1"/>
  <c r="F34" i="8"/>
  <c r="G34" i="8"/>
  <c r="I34" i="8"/>
  <c r="H34" i="8"/>
  <c r="F12" i="8"/>
  <c r="F9" i="8" l="1"/>
  <c r="F8" i="8"/>
  <c r="F10" i="8" l="1"/>
  <c r="F32" i="8"/>
  <c r="F31" i="8"/>
  <c r="F33" i="8"/>
  <c r="F30" i="8"/>
  <c r="F29" i="8"/>
  <c r="G142" i="8"/>
  <c r="K140" i="8"/>
  <c r="K141" i="8" s="1"/>
  <c r="G140" i="8"/>
  <c r="F60" i="8"/>
  <c r="F63" i="8" s="1"/>
  <c r="F26" i="8"/>
  <c r="G26" i="8" s="1"/>
  <c r="H26" i="8" s="1"/>
  <c r="I26" i="8" s="1"/>
  <c r="J26" i="8" s="1"/>
  <c r="K26" i="8" s="1"/>
  <c r="L26" i="8" s="1"/>
  <c r="M26" i="8" s="1"/>
  <c r="N26" i="8" s="1"/>
  <c r="O26" i="8" s="1"/>
  <c r="G7" i="8"/>
  <c r="R33" i="8" l="1"/>
  <c r="R32" i="8"/>
  <c r="N32" i="8" s="1"/>
  <c r="O32" i="8" s="1"/>
  <c r="R31" i="8"/>
  <c r="N31" i="8" s="1"/>
  <c r="O31" i="8" s="1"/>
  <c r="R30" i="8"/>
  <c r="M30" i="8" s="1"/>
  <c r="N30" i="8" s="1"/>
  <c r="O30" i="8" s="1"/>
  <c r="K142" i="8"/>
  <c r="I141" i="8"/>
  <c r="R28" i="8"/>
  <c r="R34" i="8"/>
  <c r="L34" i="8" s="1"/>
  <c r="M34" i="8" s="1"/>
  <c r="N34" i="8" s="1"/>
  <c r="O34" i="8" s="1"/>
  <c r="M33" i="8"/>
  <c r="N33" i="8" s="1"/>
  <c r="O33" i="8" s="1"/>
  <c r="R29" i="8"/>
  <c r="L29" i="8" s="1"/>
  <c r="G60" i="8"/>
  <c r="G63" i="8" s="1"/>
  <c r="F64" i="8"/>
  <c r="F68" i="8"/>
  <c r="F61" i="8"/>
  <c r="F67" i="8"/>
  <c r="F69" i="8" s="1"/>
  <c r="F62" i="8"/>
  <c r="I140" i="8"/>
  <c r="F15" i="8"/>
  <c r="F16" i="8" s="1"/>
  <c r="F17" i="8" s="1"/>
  <c r="F22" i="8" s="1"/>
  <c r="F35" i="8"/>
  <c r="G12" i="8"/>
  <c r="G14" i="8"/>
  <c r="G13" i="8"/>
  <c r="H7" i="8"/>
  <c r="G8" i="8"/>
  <c r="G9" i="8"/>
  <c r="F76" i="8"/>
  <c r="G76" i="8" s="1"/>
  <c r="H76" i="8" s="1"/>
  <c r="I76" i="8" s="1"/>
  <c r="J76" i="8" s="1"/>
  <c r="K76" i="8" s="1"/>
  <c r="L76" i="8" s="1"/>
  <c r="M76" i="8" s="1"/>
  <c r="N76" i="8" s="1"/>
  <c r="O76" i="8" s="1"/>
  <c r="H9" i="3"/>
  <c r="H23" i="3"/>
  <c r="H19" i="3"/>
  <c r="H18" i="3"/>
  <c r="H10" i="3"/>
  <c r="H6" i="3"/>
  <c r="M29" i="8" l="1"/>
  <c r="N29" i="8" s="1"/>
  <c r="O29" i="8" s="1"/>
  <c r="I142" i="8"/>
  <c r="D146" i="8" s="1"/>
  <c r="D150" i="8" s="1"/>
  <c r="F128" i="8" s="1"/>
  <c r="F129" i="8" s="1"/>
  <c r="F131" i="8" s="1"/>
  <c r="G29" i="8"/>
  <c r="F65" i="8"/>
  <c r="F71" i="8" s="1"/>
  <c r="F77" i="8" s="1"/>
  <c r="H60" i="8"/>
  <c r="H63" i="8" s="1"/>
  <c r="G68" i="8"/>
  <c r="G67" i="8"/>
  <c r="G69" i="8" s="1"/>
  <c r="G62" i="8"/>
  <c r="G61" i="8"/>
  <c r="G64" i="8"/>
  <c r="G32" i="8"/>
  <c r="G31" i="8"/>
  <c r="G28" i="8"/>
  <c r="G33" i="8"/>
  <c r="G30" i="8"/>
  <c r="H12" i="8"/>
  <c r="H13" i="8"/>
  <c r="H14" i="8"/>
  <c r="G10" i="8"/>
  <c r="I7" i="8"/>
  <c r="H9" i="8"/>
  <c r="H8" i="8"/>
  <c r="C23" i="3"/>
  <c r="D23" i="3"/>
  <c r="E23" i="3"/>
  <c r="E25" i="3" s="1"/>
  <c r="F23" i="3"/>
  <c r="F25" i="3" s="1"/>
  <c r="G23" i="3"/>
  <c r="G25" i="3" s="1"/>
  <c r="C15" i="3"/>
  <c r="D15" i="3"/>
  <c r="E15" i="3"/>
  <c r="F15" i="3"/>
  <c r="G15" i="3"/>
  <c r="C14" i="3"/>
  <c r="D14" i="3"/>
  <c r="E14" i="3"/>
  <c r="F14" i="3"/>
  <c r="G14" i="3"/>
  <c r="K70" i="1"/>
  <c r="K69" i="1"/>
  <c r="K68" i="1"/>
  <c r="K67" i="1"/>
  <c r="K66" i="1"/>
  <c r="K65" i="1"/>
  <c r="K64" i="1"/>
  <c r="K63" i="1"/>
  <c r="K62" i="1"/>
  <c r="K61" i="1"/>
  <c r="K60" i="1"/>
  <c r="K59" i="1"/>
  <c r="K58" i="1"/>
  <c r="K57" i="1"/>
  <c r="K56" i="1"/>
  <c r="K55"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K24" i="1"/>
  <c r="K23" i="1"/>
  <c r="K22" i="1"/>
  <c r="K21" i="1"/>
  <c r="K20" i="1"/>
  <c r="K19" i="1"/>
  <c r="K18" i="1"/>
  <c r="K17" i="1"/>
  <c r="K16" i="1"/>
  <c r="I70" i="1"/>
  <c r="I69" i="1"/>
  <c r="I68" i="1"/>
  <c r="I67" i="1"/>
  <c r="I66" i="1"/>
  <c r="I65" i="1"/>
  <c r="I64" i="1"/>
  <c r="I63" i="1"/>
  <c r="I62" i="1"/>
  <c r="I61" i="1"/>
  <c r="I60" i="1"/>
  <c r="I59" i="1"/>
  <c r="I58" i="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E70" i="1"/>
  <c r="E69" i="1"/>
  <c r="E68" i="1"/>
  <c r="E67" i="1"/>
  <c r="E66" i="1"/>
  <c r="E65" i="1"/>
  <c r="E64" i="1"/>
  <c r="E63" i="1"/>
  <c r="E62" i="1"/>
  <c r="E61" i="1"/>
  <c r="E60" i="1"/>
  <c r="E59" i="1"/>
  <c r="E58" i="1"/>
  <c r="E57" i="1"/>
  <c r="E56" i="1"/>
  <c r="E55" i="1"/>
  <c r="E54" i="1"/>
  <c r="E53" i="1"/>
  <c r="E52" i="1"/>
  <c r="E51"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K66" i="2"/>
  <c r="K65" i="2"/>
  <c r="K64" i="2"/>
  <c r="K63" i="2"/>
  <c r="K62" i="2"/>
  <c r="K61" i="2"/>
  <c r="K60" i="2"/>
  <c r="K59" i="2"/>
  <c r="K58" i="2"/>
  <c r="K57" i="2"/>
  <c r="K56" i="2"/>
  <c r="K55" i="2"/>
  <c r="K54" i="2"/>
  <c r="K53" i="2"/>
  <c r="K52" i="2"/>
  <c r="K51" i="2"/>
  <c r="K50" i="2"/>
  <c r="K49" i="2"/>
  <c r="K48" i="2"/>
  <c r="K47" i="2"/>
  <c r="K46" i="2"/>
  <c r="K45" i="2"/>
  <c r="K44" i="2"/>
  <c r="K43" i="2"/>
  <c r="K42" i="2"/>
  <c r="K41" i="2"/>
  <c r="K40" i="2"/>
  <c r="K39" i="2"/>
  <c r="K38" i="2"/>
  <c r="K37" i="2"/>
  <c r="K36" i="2"/>
  <c r="K35" i="2"/>
  <c r="K34" i="2"/>
  <c r="K33" i="2"/>
  <c r="K32" i="2"/>
  <c r="K31" i="2"/>
  <c r="K30" i="2"/>
  <c r="K29" i="2"/>
  <c r="K28" i="2"/>
  <c r="K27" i="2"/>
  <c r="K26" i="2"/>
  <c r="K25" i="2"/>
  <c r="K24" i="2"/>
  <c r="K23" i="2"/>
  <c r="K22" i="2"/>
  <c r="K21" i="2"/>
  <c r="K20" i="2"/>
  <c r="K19" i="2"/>
  <c r="K18" i="2"/>
  <c r="K17" i="2"/>
  <c r="K16" i="2"/>
  <c r="I66" i="2"/>
  <c r="I65" i="2"/>
  <c r="I64"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32" i="2"/>
  <c r="I31" i="2"/>
  <c r="I30" i="2"/>
  <c r="I29" i="2"/>
  <c r="I28" i="2"/>
  <c r="I27" i="2"/>
  <c r="I26" i="2"/>
  <c r="I25" i="2"/>
  <c r="I24" i="2"/>
  <c r="I23" i="2"/>
  <c r="I22" i="2"/>
  <c r="I21" i="2"/>
  <c r="I20" i="2"/>
  <c r="I19" i="2"/>
  <c r="I18" i="2"/>
  <c r="I17" i="2"/>
  <c r="I16"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G26" i="2"/>
  <c r="G25" i="2"/>
  <c r="G24" i="2"/>
  <c r="G23" i="2"/>
  <c r="G22" i="2"/>
  <c r="G21" i="2"/>
  <c r="G20" i="2"/>
  <c r="G19" i="2"/>
  <c r="G18" i="2"/>
  <c r="G17" i="2"/>
  <c r="G16" i="2"/>
  <c r="E66" i="2"/>
  <c r="E65" i="2"/>
  <c r="E64" i="2"/>
  <c r="E63" i="2"/>
  <c r="E62" i="2"/>
  <c r="E61" i="2"/>
  <c r="E60" i="2"/>
  <c r="E59" i="2"/>
  <c r="E58" i="2"/>
  <c r="E57" i="2"/>
  <c r="E56" i="2"/>
  <c r="E55" i="2"/>
  <c r="E54" i="2"/>
  <c r="E53" i="2"/>
  <c r="E52" i="2"/>
  <c r="E51" i="2"/>
  <c r="E50" i="2"/>
  <c r="E49" i="2"/>
  <c r="E48" i="2"/>
  <c r="E47" i="2"/>
  <c r="E46" i="2"/>
  <c r="E45" i="2"/>
  <c r="E44" i="2"/>
  <c r="E43" i="2"/>
  <c r="E42" i="2"/>
  <c r="E41" i="2"/>
  <c r="E40" i="2"/>
  <c r="E39" i="2"/>
  <c r="E38" i="2"/>
  <c r="E37" i="2"/>
  <c r="E36" i="2"/>
  <c r="E35" i="2"/>
  <c r="E34" i="2"/>
  <c r="E33" i="2"/>
  <c r="E32" i="2"/>
  <c r="E31" i="2"/>
  <c r="E30" i="2"/>
  <c r="E29" i="2"/>
  <c r="E28" i="2"/>
  <c r="E27" i="2"/>
  <c r="E26" i="2"/>
  <c r="E25" i="2"/>
  <c r="E24" i="2"/>
  <c r="E23" i="2"/>
  <c r="E22" i="2"/>
  <c r="E21" i="2"/>
  <c r="E20" i="2"/>
  <c r="E19" i="2"/>
  <c r="E18" i="2"/>
  <c r="E17" i="2"/>
  <c r="E16" i="2"/>
  <c r="C66" i="2"/>
  <c r="C65" i="2"/>
  <c r="C64" i="2"/>
  <c r="C63" i="2"/>
  <c r="C62" i="2"/>
  <c r="C61" i="2"/>
  <c r="C60" i="2"/>
  <c r="C59" i="2"/>
  <c r="C58" i="2"/>
  <c r="C57" i="2"/>
  <c r="C56" i="2"/>
  <c r="C55" i="2"/>
  <c r="C54" i="2"/>
  <c r="C53" i="2"/>
  <c r="C52" i="2"/>
  <c r="C51" i="2"/>
  <c r="C50" i="2"/>
  <c r="C49" i="2"/>
  <c r="C48" i="2"/>
  <c r="C47" i="2"/>
  <c r="C46" i="2"/>
  <c r="C45" i="2"/>
  <c r="C44" i="2"/>
  <c r="C43" i="2"/>
  <c r="C42" i="2"/>
  <c r="C41" i="2"/>
  <c r="C40" i="2"/>
  <c r="C39" i="2"/>
  <c r="C38" i="2"/>
  <c r="C37" i="2"/>
  <c r="C36" i="2"/>
  <c r="C35" i="2"/>
  <c r="C34" i="2"/>
  <c r="C33" i="2"/>
  <c r="C32" i="2"/>
  <c r="C31" i="2"/>
  <c r="C30" i="2"/>
  <c r="C29" i="2"/>
  <c r="C28" i="2"/>
  <c r="C27" i="2"/>
  <c r="C26" i="2"/>
  <c r="C25" i="2"/>
  <c r="C24" i="2"/>
  <c r="C23" i="2"/>
  <c r="C22" i="2"/>
  <c r="C21" i="2"/>
  <c r="C20" i="2"/>
  <c r="C19" i="2"/>
  <c r="C18" i="2"/>
  <c r="C17" i="2"/>
  <c r="C16" i="2"/>
  <c r="G65" i="8" l="1"/>
  <c r="G71" i="8" s="1"/>
  <c r="G72" i="8" s="1"/>
  <c r="G21" i="8" s="1"/>
  <c r="I60" i="8"/>
  <c r="I63" i="8" s="1"/>
  <c r="H67" i="8"/>
  <c r="H62" i="8"/>
  <c r="H61" i="8"/>
  <c r="H64" i="8"/>
  <c r="H68" i="8"/>
  <c r="N44" i="8"/>
  <c r="H167" i="8"/>
  <c r="H29" i="8"/>
  <c r="H31" i="8"/>
  <c r="H30" i="8"/>
  <c r="G15" i="8"/>
  <c r="G16" i="8" s="1"/>
  <c r="G17" i="8" s="1"/>
  <c r="G35" i="8"/>
  <c r="H28" i="8"/>
  <c r="H33" i="8"/>
  <c r="H32" i="8"/>
  <c r="I14" i="8"/>
  <c r="I12" i="8"/>
  <c r="I13" i="8"/>
  <c r="H10" i="8"/>
  <c r="J7" i="8"/>
  <c r="I9" i="8"/>
  <c r="I8" i="8"/>
  <c r="D25" i="3"/>
  <c r="G77" i="8" l="1"/>
  <c r="G22" i="8"/>
  <c r="G167" i="8"/>
  <c r="F167" i="8" s="1"/>
  <c r="E167" i="8" s="1"/>
  <c r="D167" i="8" s="1"/>
  <c r="I167" i="8"/>
  <c r="J167" i="8" s="1"/>
  <c r="K167" i="8" s="1"/>
  <c r="L167" i="8" s="1"/>
  <c r="I32" i="8"/>
  <c r="H65" i="8"/>
  <c r="I30" i="8"/>
  <c r="H69" i="8"/>
  <c r="J60" i="8"/>
  <c r="J63" i="8" s="1"/>
  <c r="I62" i="8"/>
  <c r="I61" i="8"/>
  <c r="I64" i="8"/>
  <c r="I68" i="8"/>
  <c r="I67" i="8"/>
  <c r="I69" i="8" s="1"/>
  <c r="I29" i="8"/>
  <c r="H15" i="8"/>
  <c r="H16" i="8" s="1"/>
  <c r="H17" i="8" s="1"/>
  <c r="H35" i="8"/>
  <c r="I28" i="8"/>
  <c r="I33" i="8"/>
  <c r="I31" i="8"/>
  <c r="J12" i="8"/>
  <c r="J13" i="8"/>
  <c r="J14" i="8"/>
  <c r="I10" i="8"/>
  <c r="K7" i="8"/>
  <c r="L7" i="8" s="1"/>
  <c r="M7" i="8" s="1"/>
  <c r="N7" i="8" s="1"/>
  <c r="O7" i="8" s="1"/>
  <c r="J9" i="8"/>
  <c r="J8" i="8"/>
  <c r="H71" i="8" l="1"/>
  <c r="H72" i="8" s="1"/>
  <c r="H21" i="8" s="1"/>
  <c r="H22" i="8" s="1"/>
  <c r="J30" i="8"/>
  <c r="K60" i="8"/>
  <c r="L60" i="8" s="1"/>
  <c r="M60" i="8" s="1"/>
  <c r="N60" i="8" s="1"/>
  <c r="O60" i="8" s="1"/>
  <c r="J61" i="8"/>
  <c r="J64" i="8"/>
  <c r="J68" i="8"/>
  <c r="J67" i="8"/>
  <c r="J62" i="8"/>
  <c r="J31" i="8"/>
  <c r="I65" i="8"/>
  <c r="I71" i="8" s="1"/>
  <c r="J29" i="8"/>
  <c r="J32" i="8"/>
  <c r="I15" i="8"/>
  <c r="I16" i="8" s="1"/>
  <c r="I17" i="8" s="1"/>
  <c r="I35" i="8"/>
  <c r="K8" i="8"/>
  <c r="J33" i="8"/>
  <c r="J10" i="8"/>
  <c r="J28" i="8"/>
  <c r="H77" i="8" l="1"/>
  <c r="J69" i="8"/>
  <c r="I72" i="8"/>
  <c r="I21" i="8" s="1"/>
  <c r="I22" i="8" s="1"/>
  <c r="I77" i="8"/>
  <c r="J65" i="8"/>
  <c r="K71" i="8"/>
  <c r="K20" i="8"/>
  <c r="K19" i="8" s="1"/>
  <c r="K12" i="8"/>
  <c r="L8" i="8"/>
  <c r="K14" i="8"/>
  <c r="K9" i="8"/>
  <c r="K10" i="8" s="1"/>
  <c r="K13" i="8"/>
  <c r="J15" i="8"/>
  <c r="J16" i="8" s="1"/>
  <c r="J17" i="8" s="1"/>
  <c r="J35" i="8"/>
  <c r="J71" i="8" l="1"/>
  <c r="K72" i="8" s="1"/>
  <c r="K21" i="8" s="1"/>
  <c r="K35" i="8"/>
  <c r="K15" i="8"/>
  <c r="L71" i="8"/>
  <c r="L72" i="8" s="1"/>
  <c r="L21" i="8" s="1"/>
  <c r="L20" i="8"/>
  <c r="L19" i="8" s="1"/>
  <c r="L13" i="8"/>
  <c r="L12" i="8"/>
  <c r="L14" i="8"/>
  <c r="M8" i="8"/>
  <c r="L9" i="8"/>
  <c r="L10" i="8" s="1"/>
  <c r="J72" i="8" l="1"/>
  <c r="J21" i="8" s="1"/>
  <c r="J22" i="8" s="1"/>
  <c r="J77" i="8"/>
  <c r="M71" i="8"/>
  <c r="M72" i="8" s="1"/>
  <c r="M21" i="8" s="1"/>
  <c r="M13" i="8"/>
  <c r="M14" i="8"/>
  <c r="N8" i="8"/>
  <c r="M12" i="8"/>
  <c r="M20" i="8"/>
  <c r="M19" i="8" s="1"/>
  <c r="M9" i="8"/>
  <c r="M10" i="8" s="1"/>
  <c r="K16" i="8"/>
  <c r="K17" i="8" s="1"/>
  <c r="K22" i="8" s="1"/>
  <c r="L35" i="8"/>
  <c r="L15" i="8"/>
  <c r="M35" i="8" l="1"/>
  <c r="M15" i="8"/>
  <c r="M16" i="8" s="1"/>
  <c r="M17" i="8" s="1"/>
  <c r="M22" i="8" s="1"/>
  <c r="N71" i="8"/>
  <c r="N72" i="8" s="1"/>
  <c r="N21" i="8" s="1"/>
  <c r="N14" i="8"/>
  <c r="N20" i="8"/>
  <c r="N19" i="8" s="1"/>
  <c r="O8" i="8"/>
  <c r="N12" i="8"/>
  <c r="N13" i="8"/>
  <c r="N9" i="8"/>
  <c r="N10" i="8" s="1"/>
  <c r="L16" i="8"/>
  <c r="L17" i="8" s="1"/>
  <c r="L22" i="8" s="1"/>
  <c r="O71" i="8" l="1"/>
  <c r="O72" i="8" s="1"/>
  <c r="O21" i="8" s="1"/>
  <c r="O20" i="8"/>
  <c r="O19" i="8" s="1"/>
  <c r="O13" i="8"/>
  <c r="O12" i="8"/>
  <c r="O14" i="8"/>
  <c r="O9" i="8"/>
  <c r="O10" i="8" s="1"/>
  <c r="N35" i="8"/>
  <c r="N15" i="8"/>
  <c r="N16" i="8" s="1"/>
  <c r="N17" i="8" s="1"/>
  <c r="N22" i="8" s="1"/>
  <c r="O15" i="8" l="1"/>
  <c r="O35" i="8"/>
  <c r="N41" i="8" l="1"/>
  <c r="N43" i="8" s="1"/>
  <c r="N45" i="8" s="1"/>
  <c r="O16" i="8"/>
  <c r="O17" i="8" s="1"/>
  <c r="O22" i="8" s="1"/>
  <c r="I41" i="8" l="1"/>
  <c r="I43" i="8" s="1"/>
  <c r="I45" i="8" s="1"/>
  <c r="I47" i="8"/>
  <c r="N47" i="8"/>
  <c r="N48" i="8" s="1"/>
  <c r="N50" i="8" s="1"/>
  <c r="S41" i="8" l="1"/>
  <c r="N52" i="8"/>
  <c r="C159" i="8" s="1"/>
  <c r="I48" i="8"/>
  <c r="I50" i="8" s="1"/>
  <c r="S47" i="8" l="1"/>
  <c r="S50" i="8" s="1"/>
  <c r="I52" i="8"/>
  <c r="C167" i="8" l="1"/>
  <c r="S43" i="8" l="1"/>
  <c r="S44" i="8"/>
  <c r="E3" i="10"/>
  <c r="D16" i="10"/>
  <c r="D18" i="10"/>
  <c r="C23" i="10"/>
  <c r="C24" i="10"/>
  <c r="C26" i="10"/>
  <c r="C27" i="10"/>
  <c r="D29" i="10"/>
  <c r="E30"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Brett Potomac</author>
  </authors>
  <commentList>
    <comment ref="C6" authorId="0" shapeId="0" xr:uid="{9E5EC89F-7AD1-4871-8758-4D2198159A80}">
      <text>
        <r>
          <rPr>
            <b/>
            <sz val="9"/>
            <color indexed="81"/>
            <rFont val="Tahoma"/>
            <family val="2"/>
          </rPr>
          <t>Brett Potomac:</t>
        </r>
        <r>
          <rPr>
            <sz val="9"/>
            <color indexed="81"/>
            <rFont val="Tahoma"/>
            <family val="2"/>
          </rPr>
          <t xml:space="preserve">
Expedia has no inventory to subtract out</t>
        </r>
      </text>
    </comment>
    <comment ref="H6" authorId="0" shapeId="0" xr:uid="{15F1B728-B6EE-462C-A032-C10DFCE57456}">
      <text>
        <r>
          <rPr>
            <b/>
            <sz val="9"/>
            <color indexed="81"/>
            <rFont val="Tahoma"/>
            <family val="2"/>
          </rPr>
          <t>Brett Potomac:</t>
        </r>
        <r>
          <rPr>
            <sz val="9"/>
            <color indexed="81"/>
            <rFont val="Tahoma"/>
            <family val="2"/>
          </rPr>
          <t xml:space="preserve">
Averages taken from Mergent, Feb 21, 2020</t>
        </r>
      </text>
    </comment>
    <comment ref="B9" authorId="0" shapeId="0" xr:uid="{9CBCE125-799E-449A-9E20-F1683D6D18DA}">
      <text>
        <r>
          <rPr>
            <b/>
            <sz val="9"/>
            <color indexed="81"/>
            <rFont val="Tahoma"/>
            <family val="2"/>
          </rPr>
          <t>Brett Potomac:</t>
        </r>
        <r>
          <rPr>
            <sz val="9"/>
            <color indexed="81"/>
            <rFont val="Tahoma"/>
            <family val="2"/>
          </rPr>
          <t xml:space="preserve">
Expedia has no inventory</t>
        </r>
      </text>
    </comment>
    <comment ref="H14" authorId="0" shapeId="0" xr:uid="{6495BE6B-0002-4924-9678-62890247E16B}">
      <text>
        <r>
          <rPr>
            <b/>
            <sz val="9"/>
            <color indexed="81"/>
            <rFont val="Tahoma"/>
            <family val="2"/>
          </rPr>
          <t>Brett Potomac:</t>
        </r>
        <r>
          <rPr>
            <sz val="9"/>
            <color indexed="81"/>
            <rFont val="Tahoma"/>
            <family val="2"/>
          </rPr>
          <t xml:space="preserve">
Not available on Mergent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Brett Potomac</author>
  </authors>
  <commentList>
    <comment ref="C4" authorId="0" shapeId="0" xr:uid="{00000000-0006-0000-0300-000001000000}">
      <text>
        <r>
          <rPr>
            <b/>
            <sz val="9"/>
            <color indexed="81"/>
            <rFont val="Tahoma"/>
            <family val="2"/>
          </rPr>
          <t>Brett Potomac:</t>
        </r>
        <r>
          <rPr>
            <sz val="9"/>
            <color indexed="81"/>
            <rFont val="Tahoma"/>
            <family val="2"/>
          </rPr>
          <t xml:space="preserve">
Yahoo Finance 4/24/2020</t>
        </r>
      </text>
    </comment>
    <comment ref="F13" authorId="0" shapeId="0" xr:uid="{00000000-0006-0000-0300-000002000000}">
      <text>
        <r>
          <rPr>
            <b/>
            <sz val="9"/>
            <color indexed="81"/>
            <rFont val="Tahoma"/>
            <family val="2"/>
          </rPr>
          <t>Brett Potomac:</t>
        </r>
        <r>
          <rPr>
            <sz val="9"/>
            <color indexed="81"/>
            <rFont val="Tahoma"/>
            <family val="2"/>
          </rPr>
          <t xml:space="preserve">
High and Low from Yahoo Finance 4/24/2020</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Brett</author>
    <author>tc={61C276C8-9D26-45BF-9115-23FFB8FCB455}</author>
    <author>Brett Potomac</author>
  </authors>
  <commentList>
    <comment ref="B8" authorId="0" shapeId="0" xr:uid="{00000000-0006-0000-0700-000001000000}">
      <text>
        <r>
          <rPr>
            <b/>
            <sz val="9"/>
            <color indexed="81"/>
            <rFont val="Tahoma"/>
            <family val="2"/>
          </rPr>
          <t>Brett:</t>
        </r>
        <r>
          <rPr>
            <sz val="9"/>
            <color indexed="81"/>
            <rFont val="Tahoma"/>
            <family val="2"/>
          </rPr>
          <t xml:space="preserve">
Renamed Net Sales to Revenue for Vlookup purposes. Doing same for the rest of the entries here 3/14/2020</t>
        </r>
      </text>
    </comment>
    <comment ref="B12" authorId="0" shapeId="0" xr:uid="{00000000-0006-0000-0700-000002000000}">
      <text>
        <r>
          <rPr>
            <b/>
            <sz val="9"/>
            <color indexed="81"/>
            <rFont val="Tahoma"/>
            <family val="2"/>
          </rPr>
          <t>Brett:</t>
        </r>
        <r>
          <rPr>
            <sz val="9"/>
            <color indexed="81"/>
            <rFont val="Tahoma"/>
            <family val="2"/>
          </rPr>
          <t xml:space="preserve">
Did not have line for engineering, research, or development. Using this instead as clostest substitute. 3/14/2020</t>
        </r>
      </text>
    </comment>
    <comment ref="I42" authorId="1" shapeId="0" xr:uid="{00000000-0006-0000-0700-000003000000}">
      <text>
        <t xml:space="preserve">[Threaded comment]
Your version of Excel allows you to read this threaded comment; however, any edits to it will get removed if the file is opened in a newer version of Excel. Learn more: https://go.microsoft.com/fwlink/?linkid=870924
Comment:
Reply:
    Mature growth keeping up with inflation and GDP growth
</t>
      </text>
    </comment>
    <comment ref="N42" authorId="0" shapeId="0" xr:uid="{00000000-0006-0000-0700-000004000000}">
      <text>
        <r>
          <rPr>
            <b/>
            <sz val="9"/>
            <color rgb="FF000000"/>
            <rFont val="Tahoma"/>
            <family val="2"/>
          </rPr>
          <t>Brett:</t>
        </r>
        <r>
          <rPr>
            <sz val="9"/>
            <color rgb="FF000000"/>
            <rFont val="Tahoma"/>
            <family val="2"/>
          </rPr>
          <t xml:space="preserve">
</t>
        </r>
        <r>
          <rPr>
            <sz val="9"/>
            <color rgb="FF000000"/>
            <rFont val="Tahoma"/>
            <family val="2"/>
          </rPr>
          <t>Taken from Damodaran's website (Expedia classified as Retail (Online) on his website) 3/16/2020</t>
        </r>
      </text>
    </comment>
    <comment ref="I84" authorId="2" shapeId="0" xr:uid="{00000000-0006-0000-0700-000005000000}">
      <text>
        <r>
          <rPr>
            <b/>
            <sz val="9"/>
            <color indexed="81"/>
            <rFont val="Tahoma"/>
            <family val="2"/>
          </rPr>
          <t>Brett Potomac:</t>
        </r>
        <r>
          <rPr>
            <sz val="9"/>
            <color indexed="81"/>
            <rFont val="Tahoma"/>
            <family val="2"/>
          </rPr>
          <t xml:space="preserve">
All Option data taken from Expedia's 10k on 12/31/2019 through SEC website</t>
        </r>
      </text>
    </comment>
    <comment ref="I88" authorId="2" shapeId="0" xr:uid="{00000000-0006-0000-0700-000006000000}">
      <text>
        <r>
          <rPr>
            <b/>
            <sz val="9"/>
            <color rgb="FF000000"/>
            <rFont val="Tahoma"/>
            <family val="2"/>
          </rPr>
          <t>Brett Potomac:</t>
        </r>
        <r>
          <rPr>
            <sz val="9"/>
            <color rgb="FF000000"/>
            <rFont val="Tahoma"/>
            <family val="2"/>
          </rPr>
          <t xml:space="preserve">
</t>
        </r>
        <r>
          <rPr>
            <sz val="9"/>
            <color rgb="FF000000"/>
            <rFont val="Tahoma"/>
            <family val="2"/>
          </rPr>
          <t>Price at end of 3/30/2020, in midst of market crash</t>
        </r>
      </text>
    </comment>
    <comment ref="F114" authorId="0" shapeId="0" xr:uid="{00000000-0006-0000-0700-000007000000}">
      <text>
        <r>
          <rPr>
            <b/>
            <sz val="9"/>
            <color indexed="81"/>
            <rFont val="Tahoma"/>
            <family val="2"/>
          </rPr>
          <t>Brett:</t>
        </r>
        <r>
          <rPr>
            <sz val="9"/>
            <color indexed="81"/>
            <rFont val="Tahoma"/>
            <family val="2"/>
          </rPr>
          <t xml:space="preserve">
Yahoo finance 3/16/2020</t>
        </r>
      </text>
    </comment>
    <comment ref="F115" authorId="0" shapeId="0" xr:uid="{00000000-0006-0000-0700-000008000000}">
      <text>
        <r>
          <rPr>
            <b/>
            <sz val="9"/>
            <color indexed="81"/>
            <rFont val="Tahoma"/>
            <family val="2"/>
          </rPr>
          <t>Brett:</t>
        </r>
        <r>
          <rPr>
            <sz val="9"/>
            <color indexed="81"/>
            <rFont val="Tahoma"/>
            <family val="2"/>
          </rPr>
          <t xml:space="preserve">
Yahoo finance 3/16/2020</t>
        </r>
      </text>
    </comment>
    <comment ref="F119" authorId="0" shapeId="0" xr:uid="{00000000-0006-0000-0700-000009000000}">
      <text>
        <r>
          <rPr>
            <b/>
            <sz val="9"/>
            <color indexed="81"/>
            <rFont val="Tahoma"/>
            <family val="2"/>
          </rPr>
          <t>Brett:</t>
        </r>
        <r>
          <rPr>
            <sz val="9"/>
            <color indexed="81"/>
            <rFont val="Tahoma"/>
            <family val="2"/>
          </rPr>
          <t xml:space="preserve">
Weight of equity is significantly impacted by recent market drops 3/16/2020</t>
        </r>
      </text>
    </comment>
    <comment ref="F122" authorId="0" shapeId="0" xr:uid="{00000000-0006-0000-0700-00000A000000}">
      <text>
        <r>
          <rPr>
            <b/>
            <sz val="9"/>
            <color indexed="81"/>
            <rFont val="Tahoma"/>
            <family val="2"/>
          </rPr>
          <t>Brett:</t>
        </r>
        <r>
          <rPr>
            <sz val="9"/>
            <color indexed="81"/>
            <rFont val="Tahoma"/>
            <family val="2"/>
          </rPr>
          <t xml:space="preserve">
Taken from FINRA-markets.morningstar.com 4/27/2020.
Maturity: 2/15/2030</t>
        </r>
      </text>
    </comment>
    <comment ref="G122" authorId="0" shapeId="0" xr:uid="{00000000-0006-0000-0700-00000B000000}">
      <text>
        <r>
          <rPr>
            <b/>
            <sz val="9"/>
            <color indexed="81"/>
            <rFont val="Tahoma"/>
            <family val="2"/>
          </rPr>
          <t>Brett:</t>
        </r>
        <r>
          <rPr>
            <sz val="9"/>
            <color indexed="81"/>
            <rFont val="Tahoma"/>
            <family val="2"/>
          </rPr>
          <t xml:space="preserve">
Taken from FINRA-markets.morningstar.com 4/27/2020.
Maturity: 2/15/2030</t>
        </r>
      </text>
    </comment>
    <comment ref="F126" authorId="0" shapeId="0" xr:uid="{00000000-0006-0000-0700-00000C000000}">
      <text>
        <r>
          <rPr>
            <sz val="10"/>
            <color rgb="FF000000"/>
            <rFont val="Arial"/>
            <family val="2"/>
          </rPr>
          <t xml:space="preserve">Brett:
Taken from CNBC 10 year treasury bond yield 4/27/20 at 4:01 p.m. EST
</t>
        </r>
      </text>
    </comment>
    <comment ref="G126" authorId="0" shapeId="0" xr:uid="{00000000-0006-0000-0700-00000D000000}">
      <text>
        <r>
          <rPr>
            <sz val="10"/>
            <color rgb="FF000000"/>
            <rFont val="Arial"/>
            <family val="2"/>
          </rPr>
          <t xml:space="preserve">Brett:
We expect the risk free rate to grow to about 1.5% in the terminal growth window
</t>
        </r>
      </text>
    </comment>
    <comment ref="F127" authorId="0" shapeId="0" xr:uid="{00000000-0006-0000-0700-00000E000000}">
      <text>
        <r>
          <rPr>
            <b/>
            <sz val="9"/>
            <color indexed="81"/>
            <rFont val="Tahoma"/>
            <family val="2"/>
          </rPr>
          <t>Brett:</t>
        </r>
        <r>
          <rPr>
            <sz val="9"/>
            <color indexed="81"/>
            <rFont val="Tahoma"/>
            <family val="2"/>
          </rPr>
          <t xml:space="preserve">
Taken from Damodaran's website 3/16/2020.
12 month trailing adjusted payout</t>
        </r>
      </text>
    </comment>
    <comment ref="G127" authorId="0" shapeId="0" xr:uid="{00000000-0006-0000-0700-00000F000000}">
      <text>
        <r>
          <rPr>
            <b/>
            <sz val="9"/>
            <color indexed="81"/>
            <rFont val="Tahoma"/>
            <family val="2"/>
          </rPr>
          <t>Brett:</t>
        </r>
        <r>
          <rPr>
            <sz val="9"/>
            <color indexed="81"/>
            <rFont val="Tahoma"/>
            <family val="2"/>
          </rPr>
          <t xml:space="preserve">
Taken from Damodaran's website 3/16/2020.
12 month trailing adjusted payout</t>
        </r>
      </text>
    </comment>
    <comment ref="D147" authorId="0" shapeId="0" xr:uid="{00000000-0006-0000-0700-000010000000}">
      <text>
        <r>
          <rPr>
            <b/>
            <sz val="9"/>
            <color indexed="81"/>
            <rFont val="Tahoma"/>
            <family val="2"/>
          </rPr>
          <t>Brett:</t>
        </r>
        <r>
          <rPr>
            <sz val="9"/>
            <color indexed="81"/>
            <rFont val="Tahoma"/>
            <family val="2"/>
          </rPr>
          <t xml:space="preserve">
Taken from Damodaran's website 3/16/2020</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Brett Potomac</author>
  </authors>
  <commentList>
    <comment ref="E8" authorId="0" shapeId="0" xr:uid="{00000000-0006-0000-0800-000001000000}">
      <text>
        <r>
          <rPr>
            <b/>
            <sz val="9"/>
            <color indexed="81"/>
            <rFont val="Tahoma"/>
            <family val="2"/>
          </rPr>
          <t>Brett Potomac:</t>
        </r>
        <r>
          <rPr>
            <sz val="9"/>
            <color indexed="81"/>
            <rFont val="Tahoma"/>
            <family val="2"/>
          </rPr>
          <t xml:space="preserve">
10 year treasury bond as of 4/1//2020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Brett</author>
  </authors>
  <commentList>
    <comment ref="B11" authorId="0" shapeId="0" xr:uid="{00000000-0006-0000-0900-000001000000}">
      <text>
        <r>
          <rPr>
            <b/>
            <sz val="9"/>
            <color indexed="81"/>
            <rFont val="Tahoma"/>
            <family val="2"/>
          </rPr>
          <t>Brett:</t>
        </r>
        <r>
          <rPr>
            <sz val="9"/>
            <color indexed="81"/>
            <rFont val="Tahoma"/>
            <family val="2"/>
          </rPr>
          <t xml:space="preserve">
Read as 12/31/2015. Changed number to display only the year for Vlookup purposes 3/14/2020</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Brett</author>
  </authors>
  <commentList>
    <comment ref="B11" authorId="0" shapeId="0" xr:uid="{00000000-0006-0000-0A00-000001000000}">
      <text>
        <r>
          <rPr>
            <b/>
            <sz val="9"/>
            <color indexed="81"/>
            <rFont val="Tahoma"/>
            <family val="2"/>
          </rPr>
          <t>Brett:</t>
        </r>
        <r>
          <rPr>
            <sz val="9"/>
            <color indexed="81"/>
            <rFont val="Tahoma"/>
            <family val="2"/>
          </rPr>
          <t xml:space="preserve">
Read as 12/31/2015. Changed number to display only the year for Vlookup purposes 3/14/2020</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Brett</author>
  </authors>
  <commentList>
    <comment ref="B11" authorId="0" shapeId="0" xr:uid="{00000000-0006-0000-0B00-000001000000}">
      <text>
        <r>
          <rPr>
            <b/>
            <sz val="9"/>
            <color indexed="81"/>
            <rFont val="Tahoma"/>
            <family val="2"/>
          </rPr>
          <t>Brett:</t>
        </r>
        <r>
          <rPr>
            <sz val="9"/>
            <color indexed="81"/>
            <rFont val="Tahoma"/>
            <family val="2"/>
          </rPr>
          <t xml:space="preserve">
Read as 12/31/2015. Changed number to display only the year for Vlookup purposes 3/14/2020</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Justin Sandhu</author>
  </authors>
  <commentList>
    <comment ref="B3" authorId="0" shapeId="0" xr:uid="{00000000-0006-0000-1000-000001000000}">
      <text>
        <r>
          <rPr>
            <b/>
            <sz val="9"/>
            <color indexed="81"/>
            <rFont val="Tahoma"/>
            <family val="2"/>
          </rPr>
          <t>Justin Sandhu:</t>
        </r>
        <r>
          <rPr>
            <sz val="9"/>
            <color indexed="81"/>
            <rFont val="Tahoma"/>
            <family val="2"/>
          </rPr>
          <t xml:space="preserve">
Most recent filing</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Justin Sandhu</author>
  </authors>
  <commentList>
    <comment ref="B3" authorId="0" shapeId="0" xr:uid="{00000000-0006-0000-1100-000001000000}">
      <text>
        <r>
          <rPr>
            <b/>
            <sz val="9"/>
            <color indexed="81"/>
            <rFont val="Tahoma"/>
            <family val="2"/>
          </rPr>
          <t>Justin Sandhu:</t>
        </r>
        <r>
          <rPr>
            <sz val="9"/>
            <color indexed="81"/>
            <rFont val="Tahoma"/>
            <family val="2"/>
          </rPr>
          <t xml:space="preserve">
Most recent filing</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Justin Sandhu</author>
  </authors>
  <commentList>
    <comment ref="B3" authorId="0" shapeId="0" xr:uid="{00000000-0006-0000-1200-000001000000}">
      <text>
        <r>
          <rPr>
            <b/>
            <sz val="9"/>
            <color indexed="81"/>
            <rFont val="Tahoma"/>
            <family val="2"/>
          </rPr>
          <t>Justin Sandhu:</t>
        </r>
        <r>
          <rPr>
            <sz val="9"/>
            <color indexed="81"/>
            <rFont val="Tahoma"/>
            <family val="2"/>
          </rPr>
          <t xml:space="preserve">
Most recent filing</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Justin Sandhu</author>
  </authors>
  <commentList>
    <comment ref="B3" authorId="0" shapeId="0" xr:uid="{00000000-0006-0000-1300-000001000000}">
      <text>
        <r>
          <rPr>
            <b/>
            <sz val="9"/>
            <color indexed="81"/>
            <rFont val="Tahoma"/>
            <family val="2"/>
          </rPr>
          <t>Justin Sandhu:</t>
        </r>
        <r>
          <rPr>
            <sz val="9"/>
            <color indexed="81"/>
            <rFont val="Tahoma"/>
            <family val="2"/>
          </rPr>
          <t xml:space="preserve">
Most recent filing</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Justin Sandhu</author>
  </authors>
  <commentList>
    <comment ref="B3" authorId="0" shapeId="0" xr:uid="{00000000-0006-0000-1400-000001000000}">
      <text>
        <r>
          <rPr>
            <b/>
            <sz val="9"/>
            <color indexed="81"/>
            <rFont val="Tahoma"/>
            <family val="2"/>
          </rPr>
          <t>Justin Sandhu:</t>
        </r>
        <r>
          <rPr>
            <sz val="9"/>
            <color indexed="81"/>
            <rFont val="Tahoma"/>
            <family val="2"/>
          </rPr>
          <t xml:space="preserve">
Most recent filing</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Justin Sandhu</author>
  </authors>
  <commentList>
    <comment ref="B3" authorId="0" shapeId="0" xr:uid="{00000000-0006-0000-1500-000001000000}">
      <text>
        <r>
          <rPr>
            <b/>
            <sz val="9"/>
            <color indexed="81"/>
            <rFont val="Tahoma"/>
            <family val="2"/>
          </rPr>
          <t>Justin Sandhu:</t>
        </r>
        <r>
          <rPr>
            <sz val="9"/>
            <color indexed="81"/>
            <rFont val="Tahoma"/>
            <family val="2"/>
          </rPr>
          <t xml:space="preserve">
Most recent filing</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Justin Sandhu</author>
  </authors>
  <commentList>
    <comment ref="B4" authorId="0" shapeId="0" xr:uid="{00000000-0006-0000-1600-000001000000}">
      <text>
        <r>
          <rPr>
            <b/>
            <sz val="9"/>
            <color indexed="81"/>
            <rFont val="Tahoma"/>
            <family val="2"/>
          </rPr>
          <t>Justin Sandhu:</t>
        </r>
        <r>
          <rPr>
            <sz val="9"/>
            <color indexed="81"/>
            <rFont val="Tahoma"/>
            <family val="2"/>
          </rPr>
          <t xml:space="preserve">
Most recent filing</t>
        </r>
      </text>
    </comment>
  </commentList>
</comments>
</file>

<file path=xl/sharedStrings.xml><?xml version="1.0" encoding="utf-8"?>
<sst xmlns="http://schemas.openxmlformats.org/spreadsheetml/2006/main" count="2069" uniqueCount="570">
  <si>
    <t>Industry Average</t>
  </si>
  <si>
    <t>Liquidity</t>
  </si>
  <si>
    <t>Quick Ratio</t>
  </si>
  <si>
    <t>Activity/Efficiency</t>
  </si>
  <si>
    <t>N/A</t>
  </si>
  <si>
    <t>Leverage/Coverage</t>
  </si>
  <si>
    <t>-</t>
  </si>
  <si>
    <t>Profitability</t>
  </si>
  <si>
    <t>ROA</t>
  </si>
  <si>
    <t>ROE</t>
  </si>
  <si>
    <t>Decompose ROE using Dupont Identity</t>
  </si>
  <si>
    <t>Profit Margin</t>
  </si>
  <si>
    <t>Asset Turnover</t>
  </si>
  <si>
    <t>Equity Multipler</t>
  </si>
  <si>
    <t>Expedia (EXPE) DISCOUNTED CASH FLOWS MODEL</t>
  </si>
  <si>
    <t>Fiscal year ends in December USD in thousands except per share data.</t>
  </si>
  <si>
    <t>Brett Potomac, Cole Anderson, Justin Sandhu</t>
  </si>
  <si>
    <t>x</t>
  </si>
  <si>
    <t>FORECASTING CASH FLOWS</t>
  </si>
  <si>
    <t>Historical</t>
  </si>
  <si>
    <t>Projected</t>
  </si>
  <si>
    <t>Revenue</t>
  </si>
  <si>
    <t>Cost of revenue</t>
  </si>
  <si>
    <t>Gross Profit</t>
  </si>
  <si>
    <t>Technology &amp; content expenses</t>
  </si>
  <si>
    <t>Selling &amp; marketing expenses</t>
  </si>
  <si>
    <t>General &amp; administrative expenses</t>
  </si>
  <si>
    <t>EBIT</t>
  </si>
  <si>
    <t>Taxes</t>
  </si>
  <si>
    <t>Tax-effected EBIT</t>
  </si>
  <si>
    <t>Depreciation and amortization</t>
  </si>
  <si>
    <t>Capex</t>
  </si>
  <si>
    <t>Change in Net Working Capital</t>
  </si>
  <si>
    <t>Unlevered free cash flows</t>
  </si>
  <si>
    <t>Assumptions</t>
  </si>
  <si>
    <t>Sales Growth</t>
  </si>
  <si>
    <t>Step</t>
  </si>
  <si>
    <t>COGS (as % of revenues)</t>
  </si>
  <si>
    <t>Technology &amp; content expenses (as % of revenues)</t>
  </si>
  <si>
    <t>Selling &amp; marketing expenses (as % of revenues)</t>
  </si>
  <si>
    <t>General &amp; administrative expenses (as % of revenues)</t>
  </si>
  <si>
    <t>Capex (as % of revenues)</t>
  </si>
  <si>
    <t>Depreciation and amortization (as % of capex)</t>
  </si>
  <si>
    <t>Gross margin</t>
  </si>
  <si>
    <t>TERMINAL VALUE AND EQUITY VALUE PER SHARE</t>
  </si>
  <si>
    <t>Terminal Value - Perpetuity Growth</t>
  </si>
  <si>
    <t>Terminal Value - Exit Multiple</t>
  </si>
  <si>
    <t>Option Drag</t>
  </si>
  <si>
    <t>WACC - for terminal value</t>
  </si>
  <si>
    <t>Unlevered FCF in terminal year</t>
  </si>
  <si>
    <t>Terminal year EBITDA</t>
  </si>
  <si>
    <t>Implied Equity Value (Using TV)</t>
  </si>
  <si>
    <t>Terminal growth rate</t>
  </si>
  <si>
    <t>Terminal year EBITDA multiple</t>
  </si>
  <si>
    <t>Basic Shares</t>
  </si>
  <si>
    <t>Terminal value</t>
  </si>
  <si>
    <t>Value of Options</t>
  </si>
  <si>
    <t>WACC - current</t>
  </si>
  <si>
    <t>Implied Equity Value per Share</t>
  </si>
  <si>
    <t>PV of Terminal Value</t>
  </si>
  <si>
    <t>Treasury Outstanding Options</t>
  </si>
  <si>
    <t>PV of Unlevered Free Cash Flows</t>
  </si>
  <si>
    <t>Implied Equity Value</t>
  </si>
  <si>
    <t>Total Enterprise Value</t>
  </si>
  <si>
    <t>Diluted Shares Outstanding</t>
  </si>
  <si>
    <t>Net debt + Preferred stock + NCI</t>
  </si>
  <si>
    <t>Total Proceeds</t>
  </si>
  <si>
    <t>WORKING CAPITAL SCHEDULE</t>
  </si>
  <si>
    <t>Total current assets</t>
  </si>
  <si>
    <t>Cash &amp; cash equivalents</t>
  </si>
  <si>
    <t>Short-term investments</t>
  </si>
  <si>
    <t>Total non-cash current assets</t>
  </si>
  <si>
    <t>Total current liabilities</t>
  </si>
  <si>
    <t>Current maturities of long-term debt</t>
  </si>
  <si>
    <t>Total non-debt current liabilities</t>
  </si>
  <si>
    <t>Non-cash Net Working Capital</t>
  </si>
  <si>
    <t>Change in NWC</t>
  </si>
  <si>
    <t>Non-cash NWC as a % of Sale</t>
  </si>
  <si>
    <t>DILUTED SHARES</t>
  </si>
  <si>
    <t>Treasury with a Twist- Exercisable Options</t>
  </si>
  <si>
    <t>Treasury Method- All Outstanding Options</t>
  </si>
  <si>
    <t>Basic share count</t>
  </si>
  <si>
    <t>Exercisable options</t>
  </si>
  <si>
    <t>Oustanding options</t>
  </si>
  <si>
    <t>Exercise price</t>
  </si>
  <si>
    <t>Current share price</t>
  </si>
  <si>
    <t>In-the-money exercisable options</t>
  </si>
  <si>
    <t>Total proceeds</t>
  </si>
  <si>
    <t>Total shares repurchased</t>
  </si>
  <si>
    <t>Diluted shares outstanding</t>
  </si>
  <si>
    <t>WACC</t>
  </si>
  <si>
    <t>Current</t>
  </si>
  <si>
    <t>Terminal</t>
  </si>
  <si>
    <t>Percent of Capital</t>
  </si>
  <si>
    <t>Total debt</t>
  </si>
  <si>
    <t>Share price</t>
  </si>
  <si>
    <t>Shares outstanding</t>
  </si>
  <si>
    <t>Market value of equity</t>
  </si>
  <si>
    <t>Weight of debt</t>
  </si>
  <si>
    <t>Weight of equity</t>
  </si>
  <si>
    <t>Cost of debt</t>
  </si>
  <si>
    <t>Pre-tax cost of debt</t>
  </si>
  <si>
    <t>Marginal tax rate</t>
  </si>
  <si>
    <t>Cost of equity</t>
  </si>
  <si>
    <t>Risk-free rate</t>
  </si>
  <si>
    <t>Market risk premium (Rm - Rf)</t>
  </si>
  <si>
    <t>Beta</t>
  </si>
  <si>
    <t>Weighted average cost of capital</t>
  </si>
  <si>
    <t>BOTTOM UP BETA</t>
  </si>
  <si>
    <t>These values are adjusted for billions (USD)</t>
  </si>
  <si>
    <t>MV</t>
  </si>
  <si>
    <t>Book Value</t>
  </si>
  <si>
    <t>Debt/</t>
  </si>
  <si>
    <t>Reg</t>
  </si>
  <si>
    <t>Unlevered</t>
  </si>
  <si>
    <t xml:space="preserve">Marginal </t>
  </si>
  <si>
    <t>Company</t>
  </si>
  <si>
    <t>Equity</t>
  </si>
  <si>
    <t>Debt</t>
  </si>
  <si>
    <t>Tax Rate</t>
  </si>
  <si>
    <t>Booking Holdings</t>
  </si>
  <si>
    <t>BKNG</t>
  </si>
  <si>
    <t>Sabre Corp</t>
  </si>
  <si>
    <t>SABR</t>
  </si>
  <si>
    <t>Tripadvisor Inc</t>
  </si>
  <si>
    <t>TRIP</t>
  </si>
  <si>
    <t>Trip.com Group</t>
  </si>
  <si>
    <t>TCOM</t>
  </si>
  <si>
    <t>Average unlevered beta</t>
  </si>
  <si>
    <t>Average unlevered beta (Full industry)</t>
  </si>
  <si>
    <t>EXPE Debt/Equity ratio</t>
  </si>
  <si>
    <t>EXPE Tax Rate</t>
  </si>
  <si>
    <t>EXPE Levered Beta</t>
  </si>
  <si>
    <t>SENSITIVITY ANALYSIS</t>
  </si>
  <si>
    <t>Growth Step</t>
  </si>
  <si>
    <t>WACC Step</t>
  </si>
  <si>
    <t>g</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</si>
  <si>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</si>
  <si>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</si>
  <si>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</si>
  <si>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</si>
  <si>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</si>
  <si>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</si>
  <si>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</si>
  <si>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</si>
  <si>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options outstanding =</t>
  </si>
  <si>
    <t>Enter the number of shares outstanding =</t>
  </si>
  <si>
    <t>Circuit Breaker</t>
  </si>
  <si>
    <t>OFF</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</si>
  <si>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</si>
  <si>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</si>
  <si>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</si>
  <si>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</si>
  <si>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</si>
  <si>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</si>
  <si>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</si>
  <si>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</si>
  <si>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</si>
  <si>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</si>
  <si>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</si>
  <si>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</si>
  <si>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</si>
  <si>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</si>
  <si>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</si>
  <si>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</si>
  <si>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</si>
  <si>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</si>
  <si>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</si>
  <si>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Powered by Clearbit</t>
  </si>
  <si>
    <t>Expedia Group Inc (NMS: EXPE)</t>
  </si>
  <si>
    <t xml:space="preserve">Exchange rate used is that of the Year End reported date </t>
  </si>
  <si>
    <t xml:space="preserve">As Reported Annual Balance Sheet </t>
  </si>
  <si>
    <t>Report Date</t>
  </si>
  <si>
    <t>Currency</t>
  </si>
  <si>
    <t>USD</t>
  </si>
  <si>
    <t>Audit Status</t>
  </si>
  <si>
    <t>Not Qualified</t>
  </si>
  <si>
    <t>Not Available</t>
  </si>
  <si>
    <t>Consolidated</t>
  </si>
  <si>
    <t>Yes</t>
  </si>
  <si>
    <t>Scale</t>
  </si>
  <si>
    <t>Thousands</t>
  </si>
  <si>
    <t>Restricted cash &amp; cash equivalents</t>
  </si>
  <si>
    <t>Accounts receivables, gross</t>
  </si>
  <si>
    <t>Less: allowance for doubtful accounts</t>
  </si>
  <si>
    <t>Accounts receivables, net</t>
  </si>
  <si>
    <t>Accounts &amp; notes receivable, gross</t>
  </si>
  <si>
    <t>Accounts &amp; notes receivable, net</t>
  </si>
  <si>
    <t>Income taxes receivable</t>
  </si>
  <si>
    <t>Prepaid expenses &amp; other current assets</t>
  </si>
  <si>
    <t>Capitalized software development</t>
  </si>
  <si>
    <t>Computer equipment</t>
  </si>
  <si>
    <t>Furniture &amp; other equipment</t>
  </si>
  <si>
    <t>Leasehold improvements</t>
  </si>
  <si>
    <t>Buildings &amp; leasehold improvements</t>
  </si>
  <si>
    <t>Land</t>
  </si>
  <si>
    <t>Total property &amp; equipment, gross</t>
  </si>
  <si>
    <t>Less: accumulated depreciation</t>
  </si>
  <si>
    <t>Projects in progress</t>
  </si>
  <si>
    <t>Property &amp; equipment, net</t>
  </si>
  <si>
    <t>Operating lease right-of-use assets</t>
  </si>
  <si>
    <t>Long-term investments &amp; other assets</t>
  </si>
  <si>
    <t>Deferred income taxes</t>
  </si>
  <si>
    <t>Intangible assets, net</t>
  </si>
  <si>
    <t>Goodwill</t>
  </si>
  <si>
    <t>Total assets</t>
  </si>
  <si>
    <t>Accounts payable, merchant</t>
  </si>
  <si>
    <t>Accounts payable, other</t>
  </si>
  <si>
    <t>Deferred merchant bookings</t>
  </si>
  <si>
    <t>Deferred revenue</t>
  </si>
  <si>
    <t>Income taxes payable</t>
  </si>
  <si>
    <t>Accrued expenses &amp; other current liabilities</t>
  </si>
  <si>
    <t>Senior notes</t>
  </si>
  <si>
    <t>Long-term debt</t>
  </si>
  <si>
    <t>Long-term lease liabilities included within Operating lease liabilities</t>
  </si>
  <si>
    <t>Other long-term liabilities</t>
  </si>
  <si>
    <t>Redeemable noncontrolling interests</t>
  </si>
  <si>
    <t>Common stock</t>
  </si>
  <si>
    <t>Class B common stock</t>
  </si>
  <si>
    <t>Additional paid-in capital</t>
  </si>
  <si>
    <t>Treasury stock - common stock, at cost</t>
  </si>
  <si>
    <t>Retained earnings (accumulated deficit)</t>
  </si>
  <si>
    <t>Accumulated unrealized gains (losses) on derivatives</t>
  </si>
  <si>
    <t>Accumulated foreign currency translation adjustment</t>
  </si>
  <si>
    <t>Foreign currency translation adjustments, net of tax</t>
  </si>
  <si>
    <t>Net unrealized gain (loss) on available for sale securities, net of tax</t>
  </si>
  <si>
    <t>Accumulated other comprehensive income (loss)</t>
  </si>
  <si>
    <t>Total Expedia Group, Inc. stockholders' equity</t>
  </si>
  <si>
    <t>Non-redeemable non-controlling interests</t>
  </si>
  <si>
    <t>Total stockholders' equity</t>
  </si>
  <si>
    <t xml:space="preserve">As Reported Annual Income Statement </t>
  </si>
  <si>
    <t>Amortization of intangible assets</t>
  </si>
  <si>
    <t>Impairment of goodwill</t>
  </si>
  <si>
    <t>Impairment of intangible assets</t>
  </si>
  <si>
    <t>Legal reserves, occupancy tax &amp; other expenses</t>
  </si>
  <si>
    <t>Restructuring &amp; related reorganization charges</t>
  </si>
  <si>
    <t>Operating income (loss)</t>
  </si>
  <si>
    <t>Interest income</t>
  </si>
  <si>
    <t>Interest expense</t>
  </si>
  <si>
    <t>Gain on sale of business</t>
  </si>
  <si>
    <t>Foreign exchange rate gains (losses), net</t>
  </si>
  <si>
    <t>Noncontrolling investment basis adjustment</t>
  </si>
  <si>
    <t>Losses on minority equity investments, net</t>
  </si>
  <si>
    <t>Other-then-temporary investment impairment</t>
  </si>
  <si>
    <t>Loss on investments, net</t>
  </si>
  <si>
    <t>Equity gains (losses) in unconsolidated affiliates</t>
  </si>
  <si>
    <t>Other income (expense)</t>
  </si>
  <si>
    <t>Other income (expense), net</t>
  </si>
  <si>
    <t>Total other income (expense), net</t>
  </si>
  <si>
    <t>Income (loss) before income taxes - United States</t>
  </si>
  <si>
    <t>Income (loss) before income taxes - foreign</t>
  </si>
  <si>
    <t>Income (loss) before income taxes</t>
  </si>
  <si>
    <t>Current federal income tax expense (benefit)</t>
  </si>
  <si>
    <t>Current state income tax expense (benefit)</t>
  </si>
  <si>
    <t>Current foreign income tax expense (benefit)</t>
  </si>
  <si>
    <t>Current income tax expense (benefit)</t>
  </si>
  <si>
    <t>Deferred federal income tax expense (benefit)</t>
  </si>
  <si>
    <t>Deferred state income tax expense (benefit)</t>
  </si>
  <si>
    <t>Deferred foreign income tax expense (benefit)</t>
  </si>
  <si>
    <t>Deferred income tax expense (benefit)</t>
  </si>
  <si>
    <t>Provision for income taxes</t>
  </si>
  <si>
    <t>Net income (loss)</t>
  </si>
  <si>
    <t>Net income (loss) attributable to noncontrolling interests</t>
  </si>
  <si>
    <t>Net income (loss) attributable to Expedia Group, Inc.</t>
  </si>
  <si>
    <t>Weighted average shares outstanding - basic</t>
  </si>
  <si>
    <t>Weighted average shares outstanding - diluted</t>
  </si>
  <si>
    <t>Year end shares outstanding</t>
  </si>
  <si>
    <t>Net income (loss) per share - basic</t>
  </si>
  <si>
    <t>Net income (loss) per share - diluted</t>
  </si>
  <si>
    <t>Dividends per common share</t>
  </si>
  <si>
    <t>Total number of employees</t>
  </si>
  <si>
    <t>Number of common stockholders</t>
  </si>
  <si>
    <t>Number of common class B stockholders</t>
  </si>
  <si>
    <t>Foreign currency translation adjustments</t>
  </si>
  <si>
    <t xml:space="preserve">As Reported Annual Cash Flow </t>
  </si>
  <si>
    <t>Depreciation of property &amp; equipment, including internal-use software &amp; website development</t>
  </si>
  <si>
    <t>Amortization of stock-based compensation</t>
  </si>
  <si>
    <t>Amortization &amp; impairment of intangible assets</t>
  </si>
  <si>
    <t>Foreign exchange (gain) loss on cash, restricted cash &amp; short-term investments, net</t>
  </si>
  <si>
    <t>Foreign exchange (gain) loss on cash, cash equivalents &amp; short-term investments, net</t>
  </si>
  <si>
    <t>Realized loss (gain) on foreign currency fowards</t>
  </si>
  <si>
    <t>Loss on minority equity investments, net</t>
  </si>
  <si>
    <t>Loss (gain) on sale of business</t>
  </si>
  <si>
    <t>Noncontrolling interest basis adjustment</t>
  </si>
  <si>
    <t>Other net income adjustments</t>
  </si>
  <si>
    <t>Accounts receivable</t>
  </si>
  <si>
    <t>Prepaid expenses &amp; other assets</t>
  </si>
  <si>
    <t>Accounts payable, other, accrued expenses &amp; other current liabilities</t>
  </si>
  <si>
    <t>Tax payable/receivable, net</t>
  </si>
  <si>
    <t>Net cash flows from operating activities</t>
  </si>
  <si>
    <t>Capital expenditures, including internal-use software &amp; website development</t>
  </si>
  <si>
    <t>Purchases of investments</t>
  </si>
  <si>
    <t>Sales &amp; maturities of investments</t>
  </si>
  <si>
    <t>Acquisitions, net of cash &amp; restricted cash acquired</t>
  </si>
  <si>
    <t>Acquisitions, net of cash acquired</t>
  </si>
  <si>
    <t>Proceeds from sale of business, net of cash divested and disposal costs</t>
  </si>
  <si>
    <t>Net settlement of foreign currency forwards</t>
  </si>
  <si>
    <t>Other investing activities, net</t>
  </si>
  <si>
    <t>Net cash flows from investing activities</t>
  </si>
  <si>
    <t>Payment of long-term debt</t>
  </si>
  <si>
    <t>Payment of Liberty Expedia Exchangeable Debentures</t>
  </si>
  <si>
    <t>Proceeds from (payments of) issuance of long-term debt, net of issuance costs</t>
  </si>
  <si>
    <t>Payment of HomeAway convertible notes</t>
  </si>
  <si>
    <t>Purchases of treasury stock</t>
  </si>
  <si>
    <t>Proceeds from issuance of treasury stock</t>
  </si>
  <si>
    <t>Payment of dividends to stockholders</t>
  </si>
  <si>
    <t>Proceeds from issuance of long-term debt, net of issuance costs</t>
  </si>
  <si>
    <t>Proceeds from exercise of equity awards &amp; employee stock purchase plan</t>
  </si>
  <si>
    <t>Changes in controlled subsidiaries, net</t>
  </si>
  <si>
    <t>Excess tax benefit on equity awards</t>
  </si>
  <si>
    <t>Withholding taxes for stock option exercises</t>
  </si>
  <si>
    <t>Other financing activities, net</t>
  </si>
  <si>
    <t>Net cash flows from financing activties</t>
  </si>
  <si>
    <t>Effect of exchange rate changes on cash, cash equivalents &amp; restricted cash &amp; cash equivalents</t>
  </si>
  <si>
    <t>Net increase (decrease) in cash, cash equivalents &amp; restricted cash &amp; cash equivalents</t>
  </si>
  <si>
    <t>Cash, cash equivalents &amp; restricted cash &amp; cash equivalents at beginning of year</t>
  </si>
  <si>
    <t>Cash, cash equivalents &amp; restricted cash &amp; cash equivalents at end of year</t>
  </si>
  <si>
    <t>Net cash provided by (used in) continuing operations</t>
  </si>
  <si>
    <t>Effect of exchange rate changes on cash &amp; cash equivalents</t>
  </si>
  <si>
    <t>Net increase (decrease) in cash &amp; cash equivalents</t>
  </si>
  <si>
    <t>Cash &amp; cash equivalents at beginning of year</t>
  </si>
  <si>
    <t>Cash &amp; cash equivalents at end of year</t>
  </si>
  <si>
    <t>Cash paid for interest</t>
  </si>
  <si>
    <t>Income tax payments, net</t>
  </si>
  <si>
    <t>12/31/2018</t>
  </si>
  <si>
    <t>12/31/2017</t>
  </si>
  <si>
    <t>12/31/2016</t>
  </si>
  <si>
    <t>12/31/2015</t>
  </si>
  <si>
    <t>12/31/2014</t>
  </si>
  <si>
    <t>Income (loss) from continuing operations</t>
  </si>
  <si>
    <t>Earnings (loss) per share from continuing operations - basic</t>
  </si>
  <si>
    <t>Earnings (loss) per share from continuing operations - diluted</t>
  </si>
  <si>
    <t>General Company Information</t>
  </si>
  <si>
    <t>Principal Office</t>
  </si>
  <si>
    <t>Website</t>
  </si>
  <si>
    <t>333 108th Avenue N.E. Bellevue, WA 98004 USA</t>
  </si>
  <si>
    <t xml:space="preserve">www.expediainc.com </t>
  </si>
  <si>
    <t>Phone</t>
  </si>
  <si>
    <t>Primary NAICS</t>
  </si>
  <si>
    <t>425 679-7200</t>
  </si>
  <si>
    <t>561510 : Travel Agencies</t>
  </si>
  <si>
    <t>Auditor</t>
  </si>
  <si>
    <t>Closing Stock Price</t>
  </si>
  <si>
    <t>Ernst &amp; Young LLP</t>
  </si>
  <si>
    <t>108.71 (as of 02/10/2020)</t>
  </si>
  <si>
    <t>Number of Employees</t>
  </si>
  <si>
    <t>Incorporated</t>
  </si>
  <si>
    <t>24,500 (Approximate Full-Time as of 12/31/2018)</t>
  </si>
  <si>
    <t>April 2005 , DE, United States</t>
  </si>
  <si>
    <t>Country</t>
  </si>
  <si>
    <t>Mergent Dividend Achiever</t>
  </si>
  <si>
    <t>United States</t>
  </si>
  <si>
    <t>No</t>
  </si>
  <si>
    <t>Exchange and Ticker</t>
  </si>
  <si>
    <t>Number of Shareholders</t>
  </si>
  <si>
    <t>NMS : EXPE</t>
  </si>
  <si>
    <t>2,014 (approx. common) (as of 01/25/2019)</t>
  </si>
  <si>
    <t>Primary SIC</t>
  </si>
  <si>
    <t>4724 : Travel agencies</t>
  </si>
  <si>
    <t>Business Summary</t>
  </si>
  <si>
    <t xml:space="preserve">Expedia Group is an online travel company. Co.'s portfolio of brands includes: Expedia.com®, an online travel company; Hotels.com®, a global lodging company operating websites with its Hotels.com® Rewards loyalty program; Expedia® Partner Solutions, a </t>
  </si>
  <si>
    <t xml:space="preserve">global business-to-business brand that provides the hotel business of airlines, travel agencies, loyalty and corporate travel companies plus several consumer brands through its API and template solutions; trivago®, an online hotel metasearch platform; </t>
  </si>
  <si>
    <t xml:space="preserve">HomeAway®, a global online marketplace for the alternative accommodations industry, which also includes the VRBO brand, among others; and Egencia®, a corporate travel management company. </t>
  </si>
  <si>
    <t xml:space="preserve">* all results are stated in US Dollars </t>
  </si>
  <si>
    <t>Target Country (United States)</t>
  </si>
  <si>
    <t>Peer Grouping by:</t>
  </si>
  <si>
    <t>NAIC</t>
  </si>
  <si>
    <t>Peer Scope:</t>
  </si>
  <si>
    <t>country</t>
  </si>
  <si>
    <t>Company Name</t>
  </si>
  <si>
    <t>Quick Ratio - 2018</t>
  </si>
  <si>
    <t>Quick Ratio - 2017</t>
  </si>
  <si>
    <t>Quick Ratio - 2016</t>
  </si>
  <si>
    <t>Quick Ratio - 2015</t>
  </si>
  <si>
    <t>Quick Ratio - 2014</t>
  </si>
  <si>
    <t>Inventory Turnover - 2018</t>
  </si>
  <si>
    <t>Inventory Turnover - 2017</t>
  </si>
  <si>
    <t>Inventory Turnover - 2016</t>
  </si>
  <si>
    <t>Inventory Turnover - 2015</t>
  </si>
  <si>
    <t>Inventory Turnover - 2014</t>
  </si>
  <si>
    <t>Total Asset Turnover - 2018</t>
  </si>
  <si>
    <t>Total Asset Turnover - 2017</t>
  </si>
  <si>
    <t>Total Asset Turnover - 2016</t>
  </si>
  <si>
    <t>Total Asset Turnover - 2015</t>
  </si>
  <si>
    <t>Total Asset Turnover - 2014</t>
  </si>
  <si>
    <t>Total Debt to Equity - 2018</t>
  </si>
  <si>
    <t>Total Debt to Equity - 2017</t>
  </si>
  <si>
    <t>Total Debt to Equity - 2016</t>
  </si>
  <si>
    <t>Total Debt to Equity - 2015</t>
  </si>
  <si>
    <t>Total Debt to Equity - 2014</t>
  </si>
  <si>
    <t>ROA % (Net) - 2018</t>
  </si>
  <si>
    <t>ROA % (Net) - 2017</t>
  </si>
  <si>
    <t>ROA % (Net) - 2016</t>
  </si>
  <si>
    <t>ROA % (Net) - 2015</t>
  </si>
  <si>
    <t>ROA % (Net) - 2014</t>
  </si>
  <si>
    <t>ROE % (Net) - 2018</t>
  </si>
  <si>
    <t>ROE % (Net) - 2017</t>
  </si>
  <si>
    <t>ROE % (Net) - 2016</t>
  </si>
  <si>
    <t>ROE % (Net) - 2015</t>
  </si>
  <si>
    <t>ROE % (Net) - 2014</t>
  </si>
  <si>
    <t>Net Profit Margin % - 2018</t>
  </si>
  <si>
    <t>Net Profit Margin % - 2017</t>
  </si>
  <si>
    <t>Net Profit Margin % - 2016</t>
  </si>
  <si>
    <t>Net Profit Margin % - 2015</t>
  </si>
  <si>
    <t>Net Profit Margin % - 2014</t>
  </si>
  <si>
    <t>Peer Avr: 0.84</t>
  </si>
  <si>
    <t>Peer Avr: 0.7</t>
  </si>
  <si>
    <t>Peer Avr: 0.57</t>
  </si>
  <si>
    <t>Peer Avr: 0.73</t>
  </si>
  <si>
    <t>Peer Avr: 0.94</t>
  </si>
  <si>
    <t>Peer Avr: 60.7</t>
  </si>
  <si>
    <t>Peer Avr: 54.17</t>
  </si>
  <si>
    <t>Peer Avr: 45.3</t>
  </si>
  <si>
    <t>Peer Avr: 54.01</t>
  </si>
  <si>
    <t>Peer Avr: 58.91</t>
  </si>
  <si>
    <t>Peer Avr: 0.72</t>
  </si>
  <si>
    <t>Peer Avr: 0.93</t>
  </si>
  <si>
    <t>Peer Avr: 1.05</t>
  </si>
  <si>
    <t>Peer Avr: 0.81</t>
  </si>
  <si>
    <t>Peer Avr: 0.88</t>
  </si>
  <si>
    <t>Peer Avr: 1.6</t>
  </si>
  <si>
    <t>Peer Avr: 1.72</t>
  </si>
  <si>
    <t>Peer Avr: 1.82</t>
  </si>
  <si>
    <t>Peer Avr: 2.2</t>
  </si>
  <si>
    <t>Peer Avr: 6.67</t>
  </si>
  <si>
    <t>Peer Avr: 4.44</t>
  </si>
  <si>
    <t>Peer Avr: 2.84</t>
  </si>
  <si>
    <t>Peer Avr: 4.36</t>
  </si>
  <si>
    <t>Peer Avr: 5.88</t>
  </si>
  <si>
    <t>Peer Avr: 5.54</t>
  </si>
  <si>
    <t>Peer Avr: 16.6</t>
  </si>
  <si>
    <t>Peer Avr: 12.4</t>
  </si>
  <si>
    <t>Peer Avr: 37.45</t>
  </si>
  <si>
    <t>Peer Avr: 39.69</t>
  </si>
  <si>
    <t>Peer Avr: 13.82</t>
  </si>
  <si>
    <t>Peer Avr: 7.4</t>
  </si>
  <si>
    <t>Peer Avr: 5.29</t>
  </si>
  <si>
    <t>Peer Avr: 21.41</t>
  </si>
  <si>
    <t>Peer Avr: 13.96</t>
  </si>
  <si>
    <t>Peer Avr: 7.04</t>
  </si>
  <si>
    <t>Avalon Holdings Corp.</t>
  </si>
  <si>
    <t>Booking Holdings Inc</t>
  </si>
  <si>
    <t>Boyd Gaming Corp.</t>
  </si>
  <si>
    <t>Business Development Solutions Inc</t>
  </si>
  <si>
    <t>Dynamic Leisure Corp</t>
  </si>
  <si>
    <t>Expedia Group Inc</t>
  </si>
  <si>
    <t>Expedia Inc</t>
  </si>
  <si>
    <t>Intrav, Inc.</t>
  </si>
  <si>
    <t>Isdera North America Inc</t>
  </si>
  <si>
    <t>Kish Bancorp Inc.</t>
  </si>
  <si>
    <t>Liberty Expedia Holdings Inc</t>
  </si>
  <si>
    <t>OneLink Corp</t>
  </si>
  <si>
    <t>OneTravel Holdings Inc</t>
  </si>
  <si>
    <t>Online Vacation Center Holdings Corp</t>
  </si>
  <si>
    <t>Preview Travel, Inc.</t>
  </si>
  <si>
    <t>Provell Inc.</t>
  </si>
  <si>
    <t>RFP Express Inc</t>
  </si>
  <si>
    <t>Sinorama Corp</t>
  </si>
  <si>
    <t>Travel Services International, Inc.</t>
  </si>
  <si>
    <t>Travelocity.com Inc</t>
  </si>
  <si>
    <t>Travelstar Inc</t>
  </si>
  <si>
    <t>Universal Travel Group</t>
  </si>
  <si>
    <t>Viad Corp.</t>
  </si>
  <si>
    <t>YTB International, Inc.</t>
  </si>
  <si>
    <t>Peer Averages</t>
  </si>
  <si>
    <t>å</t>
  </si>
  <si>
    <t>Scenario Summary</t>
  </si>
  <si>
    <t>Changing Cells:</t>
  </si>
  <si>
    <t>Result Cells:</t>
  </si>
  <si>
    <t>RSUs yet to vest</t>
  </si>
  <si>
    <t>Sector</t>
  </si>
  <si>
    <t>Industry</t>
  </si>
  <si>
    <t>Source</t>
  </si>
  <si>
    <t>Peers</t>
  </si>
  <si>
    <t>Proxy Statement</t>
  </si>
  <si>
    <t>Mergent Equity Report</t>
  </si>
  <si>
    <t>Seeking Alpha</t>
  </si>
  <si>
    <t>Mergent</t>
  </si>
  <si>
    <t>List of Possible Competitors</t>
  </si>
  <si>
    <t>Business Description</t>
  </si>
  <si>
    <t>Valuation with Public Comparables</t>
  </si>
  <si>
    <t>(Figures in millions, except for per share data)</t>
  </si>
  <si>
    <t>Valuation for period ended 12/31/2018</t>
  </si>
  <si>
    <t>Enterprise Value Multiples</t>
  </si>
  <si>
    <t>Equity Value Multiples</t>
  </si>
  <si>
    <t>_</t>
  </si>
  <si>
    <t>Market Value</t>
  </si>
  <si>
    <t>Enterprise</t>
  </si>
  <si>
    <t>Forward</t>
  </si>
  <si>
    <t>5 year growth</t>
  </si>
  <si>
    <t>BV</t>
  </si>
  <si>
    <t>Price(Market)-</t>
  </si>
  <si>
    <t xml:space="preserve">Cash/MS as </t>
  </si>
  <si>
    <t>Ticker</t>
  </si>
  <si>
    <t>of Equity</t>
  </si>
  <si>
    <t>Value</t>
  </si>
  <si>
    <t>EV/Sales</t>
  </si>
  <si>
    <t>EV/EBIT</t>
  </si>
  <si>
    <t>EV/EBITDA</t>
  </si>
  <si>
    <t>EPS</t>
  </si>
  <si>
    <t>rate</t>
  </si>
  <si>
    <t>P/E</t>
  </si>
  <si>
    <t>PEG</t>
  </si>
  <si>
    <t>to-Book</t>
  </si>
  <si>
    <t>% of TA</t>
  </si>
  <si>
    <t>High</t>
  </si>
  <si>
    <t>Mean</t>
  </si>
  <si>
    <t>Median</t>
  </si>
  <si>
    <t>Low</t>
  </si>
  <si>
    <t>Implied price per share</t>
  </si>
  <si>
    <t>Implied Enterprise Value</t>
  </si>
  <si>
    <t>Range of EV/Sales</t>
  </si>
  <si>
    <t>Range of EV/EBIT</t>
  </si>
  <si>
    <t>Range of EV/EBITDA</t>
  </si>
  <si>
    <t>Range of Forward P/E</t>
  </si>
  <si>
    <t>Range of Forward PEG</t>
  </si>
  <si>
    <t>Range of Price-to-Book</t>
  </si>
  <si>
    <t>Excess Cash</t>
  </si>
  <si>
    <t>LTM Calculations For</t>
  </si>
  <si>
    <t>Fiscal year ended</t>
  </si>
  <si>
    <t>LTM</t>
  </si>
  <si>
    <t>Revenues</t>
  </si>
  <si>
    <t>EBITDA</t>
  </si>
  <si>
    <t>As of</t>
  </si>
  <si>
    <t>Net debt</t>
  </si>
  <si>
    <t>Preferred stock</t>
  </si>
  <si>
    <t>Non-controlling Interest</t>
  </si>
  <si>
    <t>Cash/MS</t>
  </si>
  <si>
    <t>Total Assets</t>
  </si>
  <si>
    <t xml:space="preserve">	
Activision Blizzard, Inc.
Booking Holdings, Inc.
Alliance Data Systems Corporation
eBay, Inc.
Electronic Arts Inc.
First Data Corporation
Hilton Worldwide Holdings, Inc.
Intuit Inc.                               Marriott International Inc.
PayPal Holdings, Inc.
salesforce.com, inc.
TripAdvisor, Inc.
Vmware, Inc
Zillow Group, Inc.</t>
  </si>
  <si>
    <t>Consumer Cyclical</t>
  </si>
  <si>
    <t>Travel Services</t>
  </si>
  <si>
    <t>MorningStar</t>
  </si>
  <si>
    <t>Bookings Holding Inc.</t>
  </si>
  <si>
    <t>Sabre Corp                                       Boyd Gaming Corp.                    Viad Corp</t>
  </si>
  <si>
    <t>Morningstar</t>
  </si>
  <si>
    <t>Booking is the world’s largest online travel agency by revenue, offering booking services for hotel and vacation rooms, airline tickets, rental cars, restaurant reservations, cruises, experiences, and other vacation packages. The company operates a number of branded travel booking sites, including Priceline.com, Booking.com, Agoda, OpenTable, and Rentalcars.com, and has expanded into travel media with the acquisitions of Kayak and Momondo. Transaction fees for online bookings account for the bulk of revenue and profits.</t>
  </si>
  <si>
    <t>TripAdvisor is the world’s leading travel metasearch company. The website offers 859 million reviews and information on 8.6 million accommodations, restaurants, experiences, airlines, and cruises. At the end of 2019, TripAdvisor hosted a leading 345,000 online bookable experiences. In 2019, 60% of revenue came from the company's hotel, media and platform segment, which includes hotel revenue generated through advertising on its metasearch platform as well as commissions received on its Instant Booking platform. Experiences and dining represented 29% of revenue with the remainder consisting of flight, rental, and non-branded TripAdvisor sales.</t>
  </si>
  <si>
    <t>Sabre holds the number-two share of global distribution system air bookings (38.8% as of the end of 2019 versus 37.1% in 2018). The global distribution system segment represented 73% of total 2019 revenue. The company also has a growing IT solutions division (27% of revenue) that focuses on the airline, hospitality, and travel agent end markets. Transaction fees, which are tied to volume and not price, account for the bulk of revenue and profits.</t>
  </si>
  <si>
    <t>MAR</t>
  </si>
  <si>
    <t>HLT</t>
  </si>
  <si>
    <t>Ctrip.com is the largest online travel agency in China. The company generates about 82% of sales by serving as a consolidator for hotel reservations and air ticketing transactions. The rest of Ctrip's revenue comes from package tours and corporate travel. More than 80% of its sales come through websites and mobile platforms, while the rest come from call centers. The company was founded in 1999 and listed on the Nasdaq in December 2003.</t>
  </si>
  <si>
    <t>EXPE</t>
  </si>
  <si>
    <t>Expedia Group Inc.</t>
  </si>
  <si>
    <t>TripAdvisor, Inc.</t>
  </si>
  <si>
    <t xml:space="preserve">Seeking Alpha </t>
  </si>
  <si>
    <t>Trip.com Group Ltd</t>
  </si>
  <si>
    <t xml:space="preserve">Trip.com Group Ltd </t>
  </si>
  <si>
    <t xml:space="preserve">TCOM </t>
  </si>
  <si>
    <t>GENTEX (GNTX) VALUATION SUMMARY</t>
  </si>
  <si>
    <t>Valuation date</t>
  </si>
  <si>
    <t>Data for graph</t>
  </si>
  <si>
    <t>Inputs</t>
  </si>
  <si>
    <t>Methodology</t>
  </si>
  <si>
    <t>Dif.</t>
  </si>
  <si>
    <t>Public comps EV/Sales range 0.0x-0.0x</t>
  </si>
  <si>
    <t>Public comps EV/EBITDA range 0.0x-0.0x</t>
  </si>
  <si>
    <t>DCF w/ perpetuity growth range 0.0%-0.0%</t>
  </si>
  <si>
    <t>DCF w/ EBITDA exit multiple range 0.0x-0.0x</t>
  </si>
  <si>
    <t>52 week high-low</t>
  </si>
  <si>
    <t>Exit Multiple</t>
  </si>
  <si>
    <t>Exit Multiple Step</t>
  </si>
  <si>
    <t>Worst Case</t>
  </si>
  <si>
    <t>Base Case</t>
  </si>
  <si>
    <t>Best Case</t>
  </si>
  <si>
    <t>Fixed Asset Turnover</t>
  </si>
  <si>
    <t>Inventory Days</t>
  </si>
  <si>
    <t>Debt Ratio</t>
  </si>
  <si>
    <t>Times Interest Earned</t>
  </si>
  <si>
    <t>Expedia (EXPE) Financial Ratios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</si>
</sst>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5" formatCode="&quot;$&quot;#,##0_);\(&quot;$&quot;#,##0\)"/>
    <numFmt numFmtId="7" formatCode="&quot;$&quot;#,##0.00_);\(&quot;$&quot;#,##0.00\)"/>
    <numFmt numFmtId="8" formatCode="&quot;$&quot;#,##0.00_);[Red]\(&quot;$&quot;#,##0.00\)"/>
    <numFmt numFmtId="44" formatCode="_(&quot;$&quot;* #,##0.00_);_(&quot;$&quot;* \(#,##0.00\);_(&quot;$&quot;* &quot;-&quot;??_);_(@_)"/>
    <numFmt numFmtId="43" formatCode="_(* #,##0.00_);_(* \(#,##0.00\);_(* &quot;-&quot;??_);_(@_)"/>
    <numFmt numFmtId="164" formatCode="0.0"/>
    <numFmt numFmtId="165" formatCode="_(0.0%_);\(0.0%\)"/>
    <numFmt numFmtId="166" formatCode="#,##0.0_);\(#,##0.0\)"/>
    <numFmt numFmtId="167" formatCode="0.0%"/>
    <numFmt numFmtId="168" formatCode="0&quot;A&quot;"/>
    <numFmt numFmtId="169" formatCode="0&quot;E&quot;"/>
    <numFmt numFmtId="170" formatCode="&quot;$&quot;#,##0.0_);\(&quot;$&quot;#,##0.0\)"/>
    <numFmt numFmtId="171" formatCode="0.0%_);\(0.0%\)"/>
    <numFmt numFmtId="172" formatCode="0.0\x"/>
    <numFmt numFmtId="173" formatCode="0.00_);\(0.00\)"/>
    <numFmt numFmtId="174" formatCode="[$-409]d\-mmm\-yy;@"/>
    <numFmt numFmtId="175" formatCode="0.00%_);\(0.00%\)"/>
    <numFmt numFmtId="176" formatCode="#,##0.000_);\(#,##0.000\)"/>
    <numFmt numFmtId="177" formatCode="#,##0.0000"/>
    <numFmt numFmtId="178" formatCode="0.000%"/>
    <numFmt numFmtId="179" formatCode="&quot;$&quot;#,##0.0"/>
    <numFmt numFmtId="180" formatCode="\-"/>
    <numFmt numFmtId="181" formatCode="0.0&quot;x&quot;"/>
    <numFmt numFmtId="182" formatCode="0.0\ &quot;days&quot;"/>
    <numFmt numFmtId="183" formatCode="0.00&quot;x&quot;"/>
  </numFmts>
  <fonts count="55"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8"/>
      <color rgb="FF000000"/>
      <name val="Arial"/>
      <family val="2"/>
    </font>
    <font>
      <b/>
      <sz val="16"/>
      <color rgb="FF000000"/>
      <name val="Arial"/>
      <family val="2"/>
    </font>
    <font>
      <b/>
      <sz val="10"/>
      <color rgb="FF000000"/>
      <name val="Arial"/>
      <family val="2"/>
    </font>
    <font>
      <sz val="10"/>
      <color rgb="FF000000"/>
      <name val="Arial"/>
      <family val="2"/>
    </font>
    <font>
      <b/>
      <sz val="11"/>
      <color theme="1"/>
      <name val="Calibri"/>
      <family val="2"/>
      <scheme val="minor"/>
    </font>
    <font>
      <sz val="8"/>
      <color rgb="FF000000"/>
      <name val="Arial"/>
      <family val="2"/>
    </font>
    <font>
      <b/>
      <sz val="16"/>
      <color rgb="FF000000"/>
      <name val="Arial"/>
      <family val="2"/>
    </font>
    <font>
      <b/>
      <sz val="14"/>
      <color rgb="FF000000"/>
      <name val="Arial"/>
      <family val="2"/>
    </font>
    <font>
      <b/>
      <sz val="10"/>
      <color rgb="FF000000"/>
      <name val="Arial"/>
      <family val="2"/>
    </font>
    <font>
      <sz val="11"/>
      <color theme="1"/>
      <name val="Times New Roman"/>
      <family val="1"/>
    </font>
    <font>
      <b/>
      <sz val="11"/>
      <color theme="1"/>
      <name val="Times New Roman"/>
      <family val="1"/>
    </font>
    <font>
      <i/>
      <sz val="11"/>
      <color theme="1"/>
      <name val="Times New Roman"/>
      <family val="1"/>
    </font>
    <font>
      <b/>
      <i/>
      <sz val="11"/>
      <color theme="0"/>
      <name val="Times New Roman"/>
      <family val="1"/>
    </font>
    <font>
      <b/>
      <sz val="11"/>
      <color theme="0"/>
      <name val="Times New Roman"/>
      <family val="1"/>
    </font>
    <font>
      <b/>
      <sz val="11"/>
      <color rgb="FF0070C0"/>
      <name val="Times New Roman"/>
      <family val="1"/>
    </font>
    <font>
      <sz val="11"/>
      <color rgb="FF00B050"/>
      <name val="Times New Roman"/>
      <family val="1"/>
    </font>
    <font>
      <b/>
      <sz val="11"/>
      <name val="Times New Roman"/>
      <family val="1"/>
    </font>
    <font>
      <sz val="11"/>
      <color rgb="FF0070C0"/>
      <name val="Times New Roman"/>
      <family val="1"/>
    </font>
    <font>
      <sz val="11"/>
      <name val="Times New Roman"/>
      <family val="1"/>
    </font>
    <font>
      <sz val="9"/>
      <color indexed="81"/>
      <name val="Tahoma"/>
      <family val="2"/>
    </font>
    <font>
      <b/>
      <sz val="9"/>
      <color indexed="81"/>
      <name val="Tahoma"/>
      <family val="2"/>
    </font>
    <font>
      <sz val="11"/>
      <color rgb="FFFF0000"/>
      <name val="Times New Roman"/>
      <family val="1"/>
    </font>
    <font>
      <sz val="10"/>
      <color rgb="FF000000"/>
      <name val="Arial"/>
      <family val="2"/>
    </font>
    <font>
      <b/>
      <sz val="14"/>
      <name val="Times"/>
      <family val="1"/>
    </font>
    <font>
      <b/>
      <sz val="14"/>
      <name val="Geneva"/>
      <family val="2"/>
    </font>
    <font>
      <sz val="10"/>
      <name val="Times"/>
      <family val="1"/>
    </font>
    <font>
      <sz val="10"/>
      <color theme="4"/>
      <name val="Times"/>
      <family val="1"/>
    </font>
    <font>
      <b/>
      <i/>
      <sz val="10"/>
      <name val="Times"/>
      <family val="1"/>
    </font>
    <font>
      <i/>
      <sz val="10"/>
      <name val="Times"/>
      <family val="1"/>
    </font>
    <font>
      <i/>
      <sz val="10"/>
      <name val="Geneva"/>
      <family val="2"/>
    </font>
    <font>
      <b/>
      <sz val="10"/>
      <name val="Times"/>
      <family val="1"/>
    </font>
    <font>
      <sz val="10"/>
      <color rgb="FF00B050"/>
      <name val="Times"/>
      <family val="1"/>
    </font>
    <font>
      <sz val="11"/>
      <color rgb="FF4472C4"/>
      <name val="Times New Roman"/>
      <family val="1"/>
    </font>
    <font>
      <sz val="11"/>
      <color theme="4"/>
      <name val="Times New Roman"/>
      <family val="1"/>
    </font>
    <font>
      <sz val="10"/>
      <name val="Arial"/>
      <family val="2"/>
    </font>
    <font>
      <b/>
      <sz val="10"/>
      <name val="Arial"/>
      <family val="2"/>
    </font>
    <font>
      <b/>
      <sz val="20"/>
      <color theme="1"/>
      <name val="Times New Roman"/>
      <family val="1"/>
    </font>
    <font>
      <sz val="11"/>
      <color rgb="FF002060"/>
      <name val="Times New Roman"/>
      <family val="1"/>
    </font>
    <font>
      <sz val="11"/>
      <color rgb="FF0070C0"/>
      <name val="Calibri"/>
      <family val="2"/>
      <scheme val="minor"/>
    </font>
    <font>
      <sz val="10"/>
      <color rgb="FF1E1E1E"/>
      <name val="Calibri"/>
      <family val="2"/>
      <scheme val="minor"/>
    </font>
    <font>
      <b/>
      <sz val="9"/>
      <color rgb="FF000000"/>
      <name val="Tahoma"/>
      <family val="2"/>
    </font>
    <font>
      <sz val="9"/>
      <color rgb="FF000000"/>
      <name val="Tahoma"/>
      <family val="2"/>
    </font>
    <font>
      <b/>
      <sz val="10"/>
      <color indexed="8"/>
      <name val="Arial"/>
      <family val="2"/>
    </font>
    <font>
      <b/>
      <sz val="10"/>
      <color indexed="18"/>
      <name val="Arial"/>
      <family val="2"/>
    </font>
    <font>
      <sz val="9"/>
      <color indexed="9"/>
      <name val="Arial"/>
      <family val="2"/>
    </font>
    <font>
      <b/>
      <sz val="11"/>
      <color indexed="9"/>
      <name val="Arial"/>
      <family val="2"/>
    </font>
    <font>
      <b/>
      <sz val="10"/>
      <color indexed="8"/>
      <name val="Arial"/>
      <family val="2"/>
    </font>
    <font>
      <b/>
      <sz val="10"/>
      <color indexed="18"/>
      <name val="Arial"/>
      <family val="2"/>
    </font>
    <font>
      <sz val="11"/>
      <color rgb="FF000000"/>
      <name val="Times New Roman"/>
      <family val="1"/>
    </font>
    <font>
      <b/>
      <sz val="10"/>
      <color indexed="8"/>
      <name val="Arial"/>
      <family val="2"/>
    </font>
    <font>
      <b/>
      <sz val="10"/>
      <color indexed="18"/>
      <name val="Arial"/>
      <family val="2"/>
    </font>
  </fonts>
  <fills count="7">
    <fill>
      <patternFill patternType="none"/>
    </fill>
    <fill>
      <patternFill patternType="gray125"/>
    </fill>
    <fill>
      <patternFill patternType="solid">
        <fgColor rgb="FF002060"/>
        <bgColor indexed="64"/>
      </patternFill>
    </fill>
    <fill>
      <patternFill patternType="solid">
        <fgColor theme="8" tint="0.79998168889431442"/>
        <bgColor indexed="64"/>
      </patternFill>
    </fill>
    <fill>
      <patternFill patternType="solid">
        <fgColor theme="0"/>
        <bgColor indexed="64"/>
      </patternFill>
    </fill>
    <fill>
      <patternFill patternType="solid">
        <fgColor theme="0"/>
        <bgColor indexed="24"/>
      </patternFill>
    </fill>
    <fill>
      <patternFill patternType="solid">
        <fgColor theme="0"/>
        <bgColor indexed="7"/>
      </patternFill>
    </fill>
  </fills>
  <borders count="1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64"/>
      </top>
      <bottom/>
      <diagonal/>
    </border>
    <border>
      <left/>
      <right style="thin">
        <color indexed="64"/>
      </right>
      <top style="thin">
        <color auto="1"/>
      </top>
      <bottom/>
      <diagonal/>
    </border>
    <border>
      <left/>
      <right style="thin">
        <color indexed="64"/>
      </right>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auto="1"/>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auto="1"/>
      </top>
      <bottom/>
      <diagonal/>
    </border>
    <border>
      <left style="thin">
        <color indexed="64"/>
      </left>
      <right style="thin">
        <color indexed="64"/>
      </right>
      <top/>
      <bottom/>
      <diagonal/>
    </border>
    <border>
      <left style="thin">
        <color indexed="64"/>
      </left>
      <right style="thin">
        <color auto="1"/>
      </right>
      <top/>
      <bottom style="thin">
        <color auto="1"/>
      </bottom>
      <diagonal/>
    </border>
  </borders>
  <cellStyleXfs count="10">
    <xf numFmtId="0" fontId="0" fillId="0" borderId="0"/>
    <xf numFmtId="9" fontId="7" fillId="0" borderId="0" applyFont="0" applyFill="0" applyBorder="0" applyAlignment="0" applyProtection="0"/>
    <xf numFmtId="0" fontId="3" fillId="0" borderId="0"/>
    <xf numFmtId="0" fontId="3" fillId="0" borderId="0"/>
    <xf numFmtId="43" fontId="26" fillId="0" borderId="0" applyFont="0" applyFill="0" applyBorder="0" applyAlignment="0" applyProtection="0"/>
    <xf numFmtId="44" fontId="26" fillId="0" borderId="0" applyFont="0" applyFill="0" applyBorder="0" applyAlignment="0" applyProtection="0"/>
    <xf numFmtId="0" fontId="38" fillId="0" borderId="0" applyFill="0"/>
    <xf numFmtId="0" fontId="2" fillId="0" borderId="0"/>
    <xf numFmtId="0" fontId="2" fillId="0" borderId="0"/>
    <xf numFmtId="0" fontId="1" fillId="0" borderId="0"/>
  </cellStyleXfs>
  <cellXfs count="325">
    <xf numFmtId="0" fontId="0" fillId="0" borderId="0" xfId="0"/>
    <xf numFmtId="0" fontId="4" fillId="0" borderId="0" xfId="0" applyFont="1" applyAlignment="1">
      <alignment horizontal="left"/>
    </xf>
    <xf numFmtId="0" fontId="5" fillId="0" borderId="0" xfId="0" applyFont="1" applyAlignment="1">
      <alignment horizontal="left"/>
    </xf>
    <xf numFmtId="0" fontId="0" fillId="0" borderId="0" xfId="0" applyAlignment="1">
      <alignment horizontal="left" vertical="top" wrapText="1"/>
    </xf>
    <xf numFmtId="0" fontId="6" fillId="0" borderId="0" xfId="0" applyFont="1" applyAlignment="1">
      <alignment vertical="top" wrapText="1"/>
    </xf>
    <xf numFmtId="0" fontId="6" fillId="0" borderId="0" xfId="0" applyFont="1" applyAlignment="1">
      <alignment horizontal="left" vertical="top"/>
    </xf>
    <xf numFmtId="0" fontId="6" fillId="0" borderId="0" xfId="0" applyFont="1" applyAlignment="1">
      <alignment horizontal="right" vertical="top" wrapText="1"/>
    </xf>
    <xf numFmtId="0" fontId="0" fillId="0" borderId="0" xfId="0" applyAlignment="1">
      <alignment horizontal="left"/>
    </xf>
    <xf numFmtId="1" fontId="0" fillId="0" borderId="0" xfId="0" applyNumberFormat="1"/>
    <xf numFmtId="0" fontId="0" fillId="0" borderId="0" xfId="0" applyAlignment="1">
      <alignment horizontal="right"/>
    </xf>
    <xf numFmtId="2" fontId="0" fillId="0" borderId="0" xfId="0" applyNumberFormat="1"/>
    <xf numFmtId="164" fontId="0" fillId="0" borderId="0" xfId="0" applyNumberFormat="1"/>
    <xf numFmtId="165" fontId="0" fillId="0" borderId="0" xfId="0" applyNumberFormat="1"/>
    <xf numFmtId="165" fontId="6" fillId="0" borderId="0" xfId="0" applyNumberFormat="1" applyFont="1" applyAlignment="1">
      <alignment horizontal="left" vertical="top"/>
    </xf>
    <xf numFmtId="165" fontId="0" fillId="0" borderId="0" xfId="0" applyNumberFormat="1" applyAlignment="1">
      <alignment horizontal="left"/>
    </xf>
    <xf numFmtId="167" fontId="0" fillId="0" borderId="0" xfId="1" applyNumberFormat="1" applyFont="1"/>
    <xf numFmtId="0" fontId="9" fillId="0" borderId="0" xfId="0" applyFont="1" applyAlignment="1">
      <alignment horizontal="left"/>
    </xf>
    <xf numFmtId="0" fontId="10" fillId="0" borderId="0" xfId="0" applyFont="1" applyAlignment="1">
      <alignment horizontal="left"/>
    </xf>
    <xf numFmtId="0" fontId="11" fillId="0" borderId="0" xfId="0" applyFont="1" applyAlignment="1">
      <alignment horizontal="left"/>
    </xf>
    <xf numFmtId="0" fontId="12" fillId="0" borderId="0" xfId="0" applyFont="1" applyAlignment="1">
      <alignment horizontal="left" vertical="top"/>
    </xf>
    <xf numFmtId="0" fontId="12" fillId="0" borderId="0" xfId="0" applyFont="1" applyAlignment="1">
      <alignment vertical="top" wrapText="1"/>
    </xf>
    <xf numFmtId="0" fontId="12" fillId="0" borderId="0" xfId="0" applyFont="1" applyAlignment="1">
      <alignment horizontal="right" vertical="top" wrapText="1"/>
    </xf>
    <xf numFmtId="0" fontId="6" fillId="0" borderId="0" xfId="0" applyFont="1"/>
    <xf numFmtId="0" fontId="13" fillId="0" borderId="0" xfId="2" applyFont="1"/>
    <xf numFmtId="0" fontId="14" fillId="0" borderId="0" xfId="2" applyFont="1"/>
    <xf numFmtId="0" fontId="15" fillId="0" borderId="0" xfId="2" applyFont="1"/>
    <xf numFmtId="0" fontId="16" fillId="2" borderId="0" xfId="2" applyFont="1" applyFill="1" applyAlignment="1">
      <alignment horizontal="centerContinuous"/>
    </xf>
    <xf numFmtId="0" fontId="17" fillId="2" borderId="0" xfId="2" applyFont="1" applyFill="1" applyAlignment="1">
      <alignment horizontal="centerContinuous"/>
    </xf>
    <xf numFmtId="0" fontId="14" fillId="0" borderId="1" xfId="2" applyFont="1" applyBorder="1" applyAlignment="1">
      <alignment horizontal="centerContinuous"/>
    </xf>
    <xf numFmtId="0" fontId="14" fillId="0" borderId="2" xfId="2" applyFont="1" applyBorder="1" applyAlignment="1">
      <alignment horizontal="centerContinuous"/>
    </xf>
    <xf numFmtId="0" fontId="14" fillId="0" borderId="3" xfId="2" applyFont="1" applyBorder="1" applyAlignment="1">
      <alignment horizontal="centerContinuous"/>
    </xf>
    <xf numFmtId="168" fontId="18" fillId="0" borderId="4" xfId="2" applyNumberFormat="1" applyFont="1" applyBorder="1" applyAlignment="1">
      <alignment horizontal="center"/>
    </xf>
    <xf numFmtId="168" fontId="14" fillId="0" borderId="4" xfId="2" applyNumberFormat="1" applyFont="1" applyBorder="1" applyAlignment="1">
      <alignment horizontal="center"/>
    </xf>
    <xf numFmtId="168" fontId="14" fillId="0" borderId="5" xfId="2" applyNumberFormat="1" applyFont="1" applyBorder="1" applyAlignment="1">
      <alignment horizontal="center"/>
    </xf>
    <xf numFmtId="169" fontId="14" fillId="0" borderId="4" xfId="2" applyNumberFormat="1" applyFont="1" applyBorder="1" applyAlignment="1">
      <alignment horizontal="center"/>
    </xf>
    <xf numFmtId="170" fontId="13" fillId="0" borderId="0" xfId="2" applyNumberFormat="1" applyFont="1"/>
    <xf numFmtId="166" fontId="13" fillId="0" borderId="0" xfId="2" applyNumberFormat="1" applyFont="1"/>
    <xf numFmtId="0" fontId="14" fillId="0" borderId="4" xfId="2" applyFont="1" applyBorder="1"/>
    <xf numFmtId="9" fontId="21" fillId="0" borderId="0" xfId="2" applyNumberFormat="1" applyFont="1"/>
    <xf numFmtId="166" fontId="22" fillId="0" borderId="0" xfId="2" applyNumberFormat="1" applyFont="1"/>
    <xf numFmtId="166" fontId="22" fillId="0" borderId="6" xfId="2" applyNumberFormat="1" applyFont="1" applyBorder="1"/>
    <xf numFmtId="0" fontId="13" fillId="0" borderId="4" xfId="2" applyFont="1" applyBorder="1"/>
    <xf numFmtId="0" fontId="20" fillId="0" borderId="0" xfId="2" applyFont="1" applyAlignment="1">
      <alignment horizontal="center"/>
    </xf>
    <xf numFmtId="0" fontId="14" fillId="0" borderId="0" xfId="2" applyFont="1" applyAlignment="1">
      <alignment horizontal="center"/>
    </xf>
    <xf numFmtId="0" fontId="14" fillId="0" borderId="5" xfId="2" applyFont="1" applyBorder="1" applyAlignment="1">
      <alignment horizontal="center"/>
    </xf>
    <xf numFmtId="171" fontId="13" fillId="0" borderId="0" xfId="2" applyNumberFormat="1" applyFont="1"/>
    <xf numFmtId="171" fontId="13" fillId="0" borderId="6" xfId="2" applyNumberFormat="1" applyFont="1" applyBorder="1"/>
    <xf numFmtId="171" fontId="21" fillId="0" borderId="0" xfId="2" applyNumberFormat="1" applyFont="1"/>
    <xf numFmtId="166" fontId="21" fillId="0" borderId="0" xfId="2" applyNumberFormat="1" applyFont="1"/>
    <xf numFmtId="0" fontId="14" fillId="0" borderId="7" xfId="2" applyFont="1" applyBorder="1"/>
    <xf numFmtId="0" fontId="13" fillId="0" borderId="5" xfId="2" applyFont="1" applyBorder="1"/>
    <xf numFmtId="0" fontId="13" fillId="0" borderId="8" xfId="2" applyFont="1" applyBorder="1"/>
    <xf numFmtId="171" fontId="22" fillId="0" borderId="6" xfId="2" applyNumberFormat="1" applyFont="1" applyBorder="1"/>
    <xf numFmtId="166" fontId="13" fillId="0" borderId="6" xfId="2" applyNumberFormat="1" applyFont="1" applyBorder="1"/>
    <xf numFmtId="171" fontId="21" fillId="0" borderId="6" xfId="2" applyNumberFormat="1" applyFont="1" applyBorder="1"/>
    <xf numFmtId="172" fontId="21" fillId="0" borderId="6" xfId="2" applyNumberFormat="1" applyFont="1" applyBorder="1"/>
    <xf numFmtId="0" fontId="13" fillId="0" borderId="9" xfId="2" applyFont="1" applyBorder="1"/>
    <xf numFmtId="0" fontId="13" fillId="0" borderId="10" xfId="2" applyFont="1" applyBorder="1"/>
    <xf numFmtId="170" fontId="13" fillId="0" borderId="11" xfId="2" applyNumberFormat="1" applyFont="1" applyBorder="1"/>
    <xf numFmtId="9" fontId="13" fillId="0" borderId="0" xfId="2" applyNumberFormat="1" applyFont="1"/>
    <xf numFmtId="5" fontId="13" fillId="0" borderId="0" xfId="2" applyNumberFormat="1" applyFont="1"/>
    <xf numFmtId="168" fontId="20" fillId="0" borderId="0" xfId="2" applyNumberFormat="1" applyFont="1" applyAlignment="1">
      <alignment horizontal="center"/>
    </xf>
    <xf numFmtId="0" fontId="16" fillId="2" borderId="0" xfId="3" applyFont="1" applyFill="1" applyAlignment="1">
      <alignment horizontal="centerContinuous"/>
    </xf>
    <xf numFmtId="0" fontId="17" fillId="2" borderId="0" xfId="3" applyFont="1" applyFill="1" applyAlignment="1">
      <alignment horizontal="centerContinuous"/>
    </xf>
    <xf numFmtId="0" fontId="14" fillId="0" borderId="7" xfId="3" applyFont="1" applyBorder="1"/>
    <xf numFmtId="0" fontId="13" fillId="0" borderId="4" xfId="3" applyFont="1" applyBorder="1"/>
    <xf numFmtId="0" fontId="13" fillId="0" borderId="5" xfId="3" applyFont="1" applyBorder="1"/>
    <xf numFmtId="0" fontId="13" fillId="0" borderId="8" xfId="3" applyFont="1" applyBorder="1"/>
    <xf numFmtId="0" fontId="13" fillId="0" borderId="0" xfId="3" applyFont="1"/>
    <xf numFmtId="166" fontId="21" fillId="0" borderId="6" xfId="3" applyNumberFormat="1" applyFont="1" applyBorder="1"/>
    <xf numFmtId="7" fontId="21" fillId="0" borderId="6" xfId="3" applyNumberFormat="1" applyFont="1" applyBorder="1"/>
    <xf numFmtId="166" fontId="13" fillId="0" borderId="6" xfId="3" applyNumberFormat="1" applyFont="1" applyBorder="1"/>
    <xf numFmtId="170" fontId="21" fillId="0" borderId="6" xfId="3" applyNumberFormat="1" applyFont="1" applyBorder="1"/>
    <xf numFmtId="0" fontId="13" fillId="0" borderId="9" xfId="3" applyFont="1" applyBorder="1"/>
    <xf numFmtId="0" fontId="13" fillId="0" borderId="10" xfId="3" applyFont="1" applyBorder="1"/>
    <xf numFmtId="170" fontId="13" fillId="0" borderId="11" xfId="3" applyNumberFormat="1" applyFont="1" applyBorder="1"/>
    <xf numFmtId="0" fontId="16" fillId="0" borderId="0" xfId="2" applyFont="1" applyAlignment="1">
      <alignment horizontal="centerContinuous"/>
    </xf>
    <xf numFmtId="0" fontId="17" fillId="0" borderId="0" xfId="2" applyFont="1" applyAlignment="1">
      <alignment horizontal="centerContinuous"/>
    </xf>
    <xf numFmtId="0" fontId="14" fillId="0" borderId="0" xfId="0" applyFont="1"/>
    <xf numFmtId="0" fontId="13" fillId="0" borderId="0" xfId="0" applyFont="1"/>
    <xf numFmtId="173" fontId="13" fillId="0" borderId="0" xfId="2" applyNumberFormat="1" applyFont="1"/>
    <xf numFmtId="0" fontId="14" fillId="0" borderId="0" xfId="0" applyFont="1" applyAlignment="1">
      <alignment horizontal="center"/>
    </xf>
    <xf numFmtId="0" fontId="14" fillId="0" borderId="12" xfId="0" applyFont="1" applyBorder="1"/>
    <xf numFmtId="174" fontId="14" fillId="0" borderId="12" xfId="0" applyNumberFormat="1" applyFont="1" applyBorder="1" applyAlignment="1">
      <alignment horizontal="center"/>
    </xf>
    <xf numFmtId="0" fontId="14" fillId="0" borderId="12" xfId="0" applyFont="1" applyBorder="1" applyAlignment="1">
      <alignment horizontal="center"/>
    </xf>
    <xf numFmtId="166" fontId="21" fillId="0" borderId="0" xfId="0" applyNumberFormat="1" applyFont="1"/>
    <xf numFmtId="2" fontId="13" fillId="0" borderId="0" xfId="0" applyNumberFormat="1" applyFont="1"/>
    <xf numFmtId="39" fontId="21" fillId="0" borderId="0" xfId="0" applyNumberFormat="1" applyFont="1"/>
    <xf numFmtId="39" fontId="13" fillId="0" borderId="0" xfId="0" applyNumberFormat="1" applyFont="1"/>
    <xf numFmtId="167" fontId="21" fillId="0" borderId="0" xfId="0" applyNumberFormat="1" applyFont="1"/>
    <xf numFmtId="167" fontId="22" fillId="0" borderId="0" xfId="0" applyNumberFormat="1" applyFont="1"/>
    <xf numFmtId="166" fontId="13" fillId="0" borderId="0" xfId="0" applyNumberFormat="1" applyFont="1"/>
    <xf numFmtId="167" fontId="13" fillId="0" borderId="0" xfId="0" applyNumberFormat="1" applyFont="1"/>
    <xf numFmtId="39" fontId="14" fillId="0" borderId="0" xfId="0" applyNumberFormat="1" applyFont="1"/>
    <xf numFmtId="5" fontId="19" fillId="0" borderId="0" xfId="2" applyNumberFormat="1" applyFont="1"/>
    <xf numFmtId="5" fontId="19" fillId="0" borderId="6" xfId="2" applyNumberFormat="1" applyFont="1" applyBorder="1"/>
    <xf numFmtId="5" fontId="19" fillId="0" borderId="11" xfId="2" applyNumberFormat="1" applyFont="1" applyBorder="1"/>
    <xf numFmtId="0" fontId="25" fillId="0" borderId="0" xfId="2" applyFont="1"/>
    <xf numFmtId="171" fontId="13" fillId="0" borderId="8" xfId="2" applyNumberFormat="1" applyFont="1" applyBorder="1"/>
    <xf numFmtId="171" fontId="13" fillId="0" borderId="0" xfId="2" applyNumberFormat="1" applyFont="1" applyBorder="1"/>
    <xf numFmtId="5" fontId="20" fillId="0" borderId="0" xfId="2" applyNumberFormat="1" applyFont="1"/>
    <xf numFmtId="5" fontId="20" fillId="0" borderId="6" xfId="2" applyNumberFormat="1" applyFont="1" applyBorder="1"/>
    <xf numFmtId="5" fontId="14" fillId="0" borderId="0" xfId="2" applyNumberFormat="1" applyFont="1"/>
    <xf numFmtId="5" fontId="20" fillId="0" borderId="4" xfId="2" applyNumberFormat="1" applyFont="1" applyBorder="1"/>
    <xf numFmtId="5" fontId="20" fillId="0" borderId="5" xfId="2" applyNumberFormat="1" applyFont="1" applyBorder="1"/>
    <xf numFmtId="5" fontId="22" fillId="0" borderId="0" xfId="2" applyNumberFormat="1" applyFont="1"/>
    <xf numFmtId="5" fontId="22" fillId="0" borderId="6" xfId="2" applyNumberFormat="1" applyFont="1" applyBorder="1"/>
    <xf numFmtId="5" fontId="22" fillId="0" borderId="4" xfId="2" applyNumberFormat="1" applyFont="1" applyBorder="1"/>
    <xf numFmtId="5" fontId="22" fillId="0" borderId="5" xfId="2" applyNumberFormat="1" applyFont="1" applyBorder="1"/>
    <xf numFmtId="37" fontId="22" fillId="0" borderId="6" xfId="2" applyNumberFormat="1" applyFont="1" applyBorder="1"/>
    <xf numFmtId="39" fontId="21" fillId="0" borderId="0" xfId="2" applyNumberFormat="1" applyFont="1"/>
    <xf numFmtId="5" fontId="13" fillId="0" borderId="6" xfId="2" applyNumberFormat="1" applyFont="1" applyBorder="1"/>
    <xf numFmtId="37" fontId="13" fillId="0" borderId="6" xfId="2" applyNumberFormat="1" applyFont="1" applyBorder="1"/>
    <xf numFmtId="37" fontId="19" fillId="0" borderId="0" xfId="2" applyNumberFormat="1" applyFont="1"/>
    <xf numFmtId="37" fontId="21" fillId="0" borderId="0" xfId="2" applyNumberFormat="1" applyFont="1"/>
    <xf numFmtId="37" fontId="13" fillId="0" borderId="0" xfId="2" applyNumberFormat="1" applyFont="1"/>
    <xf numFmtId="175" fontId="21" fillId="0" borderId="0" xfId="2" applyNumberFormat="1" applyFont="1"/>
    <xf numFmtId="167" fontId="22" fillId="0" borderId="6" xfId="1" applyNumberFormat="1" applyFont="1" applyBorder="1"/>
    <xf numFmtId="37" fontId="22" fillId="0" borderId="0" xfId="2" applyNumberFormat="1" applyFont="1"/>
    <xf numFmtId="37" fontId="20" fillId="0" borderId="0" xfId="2" applyNumberFormat="1" applyFont="1"/>
    <xf numFmtId="37" fontId="20" fillId="0" borderId="6" xfId="2" applyNumberFormat="1" applyFont="1" applyBorder="1"/>
    <xf numFmtId="37" fontId="19" fillId="0" borderId="6" xfId="2" applyNumberFormat="1" applyFont="1" applyBorder="1"/>
    <xf numFmtId="170" fontId="22" fillId="0" borderId="6" xfId="3" applyNumberFormat="1" applyFont="1" applyBorder="1"/>
    <xf numFmtId="0" fontId="13" fillId="0" borderId="6" xfId="2" applyFont="1" applyBorder="1"/>
    <xf numFmtId="7" fontId="13" fillId="0" borderId="11" xfId="2" applyNumberFormat="1" applyFont="1" applyBorder="1"/>
    <xf numFmtId="170" fontId="13" fillId="0" borderId="6" xfId="2" applyNumberFormat="1" applyFont="1" applyBorder="1"/>
    <xf numFmtId="176" fontId="21" fillId="0" borderId="6" xfId="3" applyNumberFormat="1" applyFont="1" applyBorder="1"/>
    <xf numFmtId="166" fontId="22" fillId="0" borderId="6" xfId="3" applyNumberFormat="1" applyFont="1" applyBorder="1"/>
    <xf numFmtId="0" fontId="27" fillId="0" borderId="0" xfId="0" applyFont="1"/>
    <xf numFmtId="0" fontId="28" fillId="0" borderId="0" xfId="0" applyFont="1"/>
    <xf numFmtId="0" fontId="29" fillId="0" borderId="0" xfId="0" applyFont="1"/>
    <xf numFmtId="10" fontId="30" fillId="0" borderId="13" xfId="1" applyNumberFormat="1" applyFont="1" applyFill="1" applyBorder="1"/>
    <xf numFmtId="10" fontId="30" fillId="0" borderId="13" xfId="0" applyNumberFormat="1" applyFont="1" applyBorder="1"/>
    <xf numFmtId="4" fontId="29" fillId="0" borderId="0" xfId="0" applyNumberFormat="1" applyFont="1"/>
    <xf numFmtId="0" fontId="29" fillId="0" borderId="13" xfId="0" applyFont="1" applyBorder="1"/>
    <xf numFmtId="0" fontId="31" fillId="0" borderId="0" xfId="0" applyFont="1"/>
    <xf numFmtId="0" fontId="32" fillId="0" borderId="0" xfId="0" applyFont="1"/>
    <xf numFmtId="0" fontId="33" fillId="0" borderId="0" xfId="0" applyFont="1"/>
    <xf numFmtId="0" fontId="34" fillId="0" borderId="0" xfId="0" applyFont="1"/>
    <xf numFmtId="0" fontId="34" fillId="0" borderId="13" xfId="0" applyFont="1" applyBorder="1"/>
    <xf numFmtId="10" fontId="34" fillId="0" borderId="0" xfId="0" applyNumberFormat="1" applyFont="1"/>
    <xf numFmtId="3" fontId="29" fillId="0" borderId="13" xfId="0" applyNumberFormat="1" applyFont="1" applyBorder="1"/>
    <xf numFmtId="10" fontId="34" fillId="0" borderId="13" xfId="0" applyNumberFormat="1" applyFont="1" applyBorder="1"/>
    <xf numFmtId="177" fontId="34" fillId="0" borderId="13" xfId="4" applyNumberFormat="1" applyFont="1" applyBorder="1"/>
    <xf numFmtId="10" fontId="29" fillId="0" borderId="13" xfId="0" applyNumberFormat="1" applyFont="1" applyBorder="1"/>
    <xf numFmtId="44" fontId="29" fillId="0" borderId="14" xfId="5" applyFont="1" applyBorder="1"/>
    <xf numFmtId="44" fontId="29" fillId="0" borderId="0" xfId="5" applyFont="1"/>
    <xf numFmtId="8" fontId="29" fillId="0" borderId="14" xfId="0" applyNumberFormat="1" applyFont="1" applyBorder="1"/>
    <xf numFmtId="8" fontId="35" fillId="0" borderId="13" xfId="0" applyNumberFormat="1" applyFont="1" applyBorder="1"/>
    <xf numFmtId="164" fontId="30" fillId="0" borderId="13" xfId="0" applyNumberFormat="1" applyFont="1" applyBorder="1"/>
    <xf numFmtId="7" fontId="35" fillId="0" borderId="13" xfId="5" applyNumberFormat="1" applyFont="1" applyFill="1" applyBorder="1"/>
    <xf numFmtId="178" fontId="30" fillId="0" borderId="13" xfId="0" applyNumberFormat="1" applyFont="1" applyBorder="1"/>
    <xf numFmtId="166" fontId="30" fillId="0" borderId="13" xfId="0" applyNumberFormat="1" applyFont="1" applyBorder="1"/>
    <xf numFmtId="4" fontId="35" fillId="0" borderId="13" xfId="0" applyNumberFormat="1" applyFont="1" applyBorder="1"/>
    <xf numFmtId="171" fontId="36" fillId="0" borderId="0" xfId="2" applyNumberFormat="1" applyFont="1"/>
    <xf numFmtId="8" fontId="19" fillId="0" borderId="6" xfId="2" applyNumberFormat="1" applyFont="1" applyBorder="1"/>
    <xf numFmtId="0" fontId="13" fillId="0" borderId="0" xfId="2" applyFont="1" applyAlignment="1">
      <alignment horizontal="right"/>
    </xf>
    <xf numFmtId="167" fontId="13" fillId="0" borderId="0" xfId="2" applyNumberFormat="1" applyFont="1"/>
    <xf numFmtId="0" fontId="13" fillId="0" borderId="0" xfId="2" applyFont="1" applyAlignment="1">
      <alignment horizontal="centerContinuous"/>
    </xf>
    <xf numFmtId="167" fontId="21" fillId="0" borderId="0" xfId="0" applyNumberFormat="1" applyFont="1" applyAlignment="1">
      <alignment horizontal="centerContinuous"/>
    </xf>
    <xf numFmtId="0" fontId="16" fillId="2" borderId="0" xfId="2" applyFont="1" applyFill="1" applyBorder="1" applyAlignment="1">
      <alignment horizontal="centerContinuous"/>
    </xf>
    <xf numFmtId="179" fontId="13" fillId="0" borderId="4" xfId="2" applyNumberFormat="1" applyFont="1" applyBorder="1"/>
    <xf numFmtId="179" fontId="13" fillId="0" borderId="0" xfId="2" applyNumberFormat="1" applyFont="1" applyBorder="1"/>
    <xf numFmtId="179" fontId="13" fillId="0" borderId="7" xfId="2" applyNumberFormat="1" applyFont="1" applyBorder="1"/>
    <xf numFmtId="179" fontId="13" fillId="0" borderId="8" xfId="2" applyNumberFormat="1" applyFont="1" applyBorder="1"/>
    <xf numFmtId="166" fontId="37" fillId="0" borderId="6" xfId="3" applyNumberFormat="1" applyFont="1" applyBorder="1"/>
    <xf numFmtId="179" fontId="13" fillId="0" borderId="11" xfId="2" applyNumberFormat="1" applyFont="1" applyBorder="1"/>
    <xf numFmtId="0" fontId="39" fillId="0" borderId="7" xfId="6" applyFont="1" applyBorder="1"/>
    <xf numFmtId="0" fontId="38" fillId="0" borderId="5" xfId="6" applyBorder="1"/>
    <xf numFmtId="0" fontId="38" fillId="0" borderId="0" xfId="6"/>
    <xf numFmtId="0" fontId="39" fillId="0" borderId="9" xfId="6" applyFont="1" applyBorder="1"/>
    <xf numFmtId="0" fontId="38" fillId="0" borderId="11" xfId="6" applyBorder="1"/>
    <xf numFmtId="0" fontId="39" fillId="0" borderId="0" xfId="6" applyFont="1"/>
    <xf numFmtId="0" fontId="39" fillId="0" borderId="10" xfId="6" applyFont="1" applyBorder="1"/>
    <xf numFmtId="0" fontId="38" fillId="0" borderId="0" xfId="6" applyAlignment="1">
      <alignment vertical="center"/>
    </xf>
    <xf numFmtId="0" fontId="38" fillId="0" borderId="0" xfId="6" applyAlignment="1">
      <alignment wrapText="1"/>
    </xf>
    <xf numFmtId="0" fontId="38" fillId="0" borderId="0" xfId="6" applyAlignment="1">
      <alignment vertical="top"/>
    </xf>
    <xf numFmtId="0" fontId="38" fillId="0" borderId="0" xfId="6" applyAlignment="1">
      <alignment vertical="top" wrapText="1"/>
    </xf>
    <xf numFmtId="0" fontId="40" fillId="0" borderId="0" xfId="7" applyFont="1"/>
    <xf numFmtId="0" fontId="13" fillId="0" borderId="0" xfId="7" applyFont="1"/>
    <xf numFmtId="0" fontId="2" fillId="0" borderId="0" xfId="7"/>
    <xf numFmtId="0" fontId="15" fillId="0" borderId="0" xfId="7" applyFont="1"/>
    <xf numFmtId="0" fontId="14" fillId="0" borderId="0" xfId="7" applyFont="1" applyAlignment="1">
      <alignment horizontal="center"/>
    </xf>
    <xf numFmtId="0" fontId="14" fillId="0" borderId="0" xfId="7" applyFont="1" applyAlignment="1">
      <alignment horizontal="centerContinuous"/>
    </xf>
    <xf numFmtId="0" fontId="14" fillId="0" borderId="0" xfId="7" applyFont="1" applyAlignment="1">
      <alignment horizontal="centerContinuous" wrapText="1"/>
    </xf>
    <xf numFmtId="0" fontId="2" fillId="0" borderId="0" xfId="7" applyAlignment="1">
      <alignment horizontal="centerContinuous"/>
    </xf>
    <xf numFmtId="0" fontId="14" fillId="0" borderId="0" xfId="7" applyFont="1" applyAlignment="1">
      <alignment horizontal="fill"/>
    </xf>
    <xf numFmtId="0" fontId="14" fillId="0" borderId="12" xfId="7" applyFont="1" applyBorder="1"/>
    <xf numFmtId="174" fontId="14" fillId="0" borderId="12" xfId="7" applyNumberFormat="1" applyFont="1" applyBorder="1" applyAlignment="1">
      <alignment horizontal="center"/>
    </xf>
    <xf numFmtId="0" fontId="14" fillId="0" borderId="12" xfId="7" applyFont="1" applyBorder="1" applyAlignment="1">
      <alignment horizontal="center"/>
    </xf>
    <xf numFmtId="0" fontId="14" fillId="0" borderId="0" xfId="7" applyFont="1"/>
    <xf numFmtId="7" fontId="21" fillId="0" borderId="0" xfId="7" applyNumberFormat="1" applyFont="1"/>
    <xf numFmtId="0" fontId="13" fillId="0" borderId="0" xfId="6" applyFont="1"/>
    <xf numFmtId="166" fontId="21" fillId="0" borderId="0" xfId="7" applyNumberFormat="1" applyFont="1"/>
    <xf numFmtId="166" fontId="13" fillId="0" borderId="0" xfId="7" applyNumberFormat="1" applyFont="1"/>
    <xf numFmtId="172" fontId="13" fillId="0" borderId="0" xfId="7" applyNumberFormat="1" applyFont="1"/>
    <xf numFmtId="171" fontId="21" fillId="0" borderId="0" xfId="7" applyNumberFormat="1" applyFont="1"/>
    <xf numFmtId="39" fontId="21" fillId="0" borderId="0" xfId="7" applyNumberFormat="1" applyFont="1"/>
    <xf numFmtId="39" fontId="41" fillId="0" borderId="0" xfId="7" applyNumberFormat="1" applyFont="1"/>
    <xf numFmtId="166" fontId="41" fillId="0" borderId="0" xfId="7" applyNumberFormat="1" applyFont="1"/>
    <xf numFmtId="166" fontId="13" fillId="0" borderId="0" xfId="7" applyNumberFormat="1" applyFont="1" applyAlignment="1">
      <alignment horizontal="right"/>
    </xf>
    <xf numFmtId="172" fontId="13" fillId="0" borderId="7" xfId="7" applyNumberFormat="1" applyFont="1" applyBorder="1"/>
    <xf numFmtId="172" fontId="13" fillId="0" borderId="4" xfId="7" applyNumberFormat="1" applyFont="1" applyBorder="1"/>
    <xf numFmtId="39" fontId="41" fillId="0" borderId="4" xfId="7" applyNumberFormat="1" applyFont="1" applyBorder="1"/>
    <xf numFmtId="172" fontId="13" fillId="3" borderId="8" xfId="7" applyNumberFormat="1" applyFont="1" applyFill="1" applyBorder="1"/>
    <xf numFmtId="172" fontId="13" fillId="3" borderId="0" xfId="7" applyNumberFormat="1" applyFont="1" applyFill="1"/>
    <xf numFmtId="39" fontId="41" fillId="3" borderId="0" xfId="7" applyNumberFormat="1" applyFont="1" applyFill="1"/>
    <xf numFmtId="172" fontId="13" fillId="0" borderId="9" xfId="7" applyNumberFormat="1" applyFont="1" applyBorder="1"/>
    <xf numFmtId="172" fontId="13" fillId="0" borderId="10" xfId="7" applyNumberFormat="1" applyFont="1" applyBorder="1"/>
    <xf numFmtId="39" fontId="41" fillId="0" borderId="10" xfId="7" applyNumberFormat="1" applyFont="1" applyBorder="1"/>
    <xf numFmtId="0" fontId="14" fillId="0" borderId="0" xfId="7" applyFont="1" applyAlignment="1">
      <alignment horizontal="center" wrapText="1"/>
    </xf>
    <xf numFmtId="7" fontId="22" fillId="0" borderId="0" xfId="7" applyNumberFormat="1" applyFont="1"/>
    <xf numFmtId="0" fontId="8" fillId="0" borderId="0" xfId="8" applyFont="1"/>
    <xf numFmtId="0" fontId="42" fillId="0" borderId="0" xfId="8" applyFont="1"/>
    <xf numFmtId="0" fontId="2" fillId="0" borderId="0" xfId="8"/>
    <xf numFmtId="0" fontId="8" fillId="0" borderId="0" xfId="8" applyFont="1" applyAlignment="1">
      <alignment horizontal="centerContinuous"/>
    </xf>
    <xf numFmtId="0" fontId="8" fillId="0" borderId="0" xfId="8" applyFont="1" applyAlignment="1">
      <alignment vertical="center" wrapText="1"/>
    </xf>
    <xf numFmtId="0" fontId="2" fillId="0" borderId="0" xfId="8" applyAlignment="1">
      <alignment horizontal="centerContinuous"/>
    </xf>
    <xf numFmtId="14" fontId="2" fillId="0" borderId="0" xfId="8" applyNumberFormat="1" applyAlignment="1">
      <alignment horizontal="center" vertical="center" wrapText="1"/>
    </xf>
    <xf numFmtId="14" fontId="2" fillId="0" borderId="0" xfId="8" applyNumberFormat="1"/>
    <xf numFmtId="166" fontId="2" fillId="0" borderId="0" xfId="8" applyNumberFormat="1"/>
    <xf numFmtId="0" fontId="43" fillId="0" borderId="0" xfId="0" applyFont="1" applyAlignment="1">
      <alignment wrapText="1"/>
    </xf>
    <xf numFmtId="166" fontId="1" fillId="0" borderId="0" xfId="8" applyNumberFormat="1" applyFont="1"/>
    <xf numFmtId="172" fontId="22" fillId="0" borderId="0" xfId="7" applyNumberFormat="1" applyFont="1"/>
    <xf numFmtId="0" fontId="22" fillId="0" borderId="0" xfId="7" applyFont="1"/>
    <xf numFmtId="39" fontId="22" fillId="0" borderId="0" xfId="7" applyNumberFormat="1" applyFont="1"/>
    <xf numFmtId="167" fontId="13" fillId="0" borderId="5" xfId="1" applyNumberFormat="1" applyFont="1" applyBorder="1"/>
    <xf numFmtId="167" fontId="13" fillId="3" borderId="6" xfId="1" applyNumberFormat="1" applyFont="1" applyFill="1" applyBorder="1"/>
    <xf numFmtId="167" fontId="13" fillId="0" borderId="11" xfId="1" applyNumberFormat="1" applyFont="1" applyBorder="1"/>
    <xf numFmtId="167" fontId="13" fillId="0" borderId="0" xfId="1" applyNumberFormat="1" applyFont="1"/>
    <xf numFmtId="2" fontId="22" fillId="0" borderId="0" xfId="7" applyNumberFormat="1" applyFont="1"/>
    <xf numFmtId="0" fontId="14" fillId="0" borderId="0" xfId="9" applyFont="1"/>
    <xf numFmtId="0" fontId="13" fillId="0" borderId="0" xfId="9" applyFont="1"/>
    <xf numFmtId="14" fontId="21" fillId="0" borderId="0" xfId="9" applyNumberFormat="1" applyFont="1"/>
    <xf numFmtId="7" fontId="21" fillId="0" borderId="0" xfId="9" applyNumberFormat="1" applyFont="1"/>
    <xf numFmtId="7" fontId="13" fillId="0" borderId="0" xfId="9" applyNumberFormat="1" applyFont="1"/>
    <xf numFmtId="0" fontId="14" fillId="0" borderId="0" xfId="9" applyFont="1" applyAlignment="1">
      <alignment horizontal="centerContinuous"/>
    </xf>
    <xf numFmtId="0" fontId="13" fillId="0" borderId="0" xfId="9" applyFont="1" applyAlignment="1">
      <alignment horizontal="centerContinuous"/>
    </xf>
    <xf numFmtId="0" fontId="14" fillId="0" borderId="0" xfId="9" applyFont="1" applyAlignment="1">
      <alignment horizontal="right"/>
    </xf>
    <xf numFmtId="39" fontId="13" fillId="0" borderId="0" xfId="9" applyNumberFormat="1" applyFont="1"/>
    <xf numFmtId="14" fontId="13" fillId="0" borderId="0" xfId="9" applyNumberFormat="1" applyFont="1"/>
    <xf numFmtId="7" fontId="25" fillId="0" borderId="0" xfId="9" applyNumberFormat="1" applyFont="1"/>
    <xf numFmtId="7" fontId="19" fillId="0" borderId="0" xfId="9" applyNumberFormat="1" applyFont="1"/>
    <xf numFmtId="172" fontId="22" fillId="0" borderId="0" xfId="2" applyNumberFormat="1" applyFont="1"/>
    <xf numFmtId="172" fontId="21" fillId="0" borderId="0" xfId="2" applyNumberFormat="1" applyFont="1"/>
    <xf numFmtId="0" fontId="25" fillId="0" borderId="0" xfId="9" applyFont="1"/>
    <xf numFmtId="170" fontId="13" fillId="0" borderId="4" xfId="2" applyNumberFormat="1" applyFont="1" applyBorder="1"/>
    <xf numFmtId="172" fontId="22" fillId="0" borderId="8" xfId="2" applyNumberFormat="1" applyFont="1" applyBorder="1"/>
    <xf numFmtId="170" fontId="13" fillId="0" borderId="7" xfId="2" applyNumberFormat="1" applyFont="1" applyBorder="1"/>
    <xf numFmtId="172" fontId="19" fillId="0" borderId="0" xfId="9" applyNumberFormat="1" applyFont="1"/>
    <xf numFmtId="167" fontId="19" fillId="0" borderId="0" xfId="9" applyNumberFormat="1" applyFont="1"/>
    <xf numFmtId="180" fontId="0" fillId="0" borderId="0" xfId="0" applyNumberFormat="1" applyAlignment="1">
      <alignment horizontal="right"/>
    </xf>
    <xf numFmtId="172" fontId="21" fillId="0" borderId="0" xfId="7" applyNumberFormat="1" applyFont="1"/>
    <xf numFmtId="181" fontId="22" fillId="0" borderId="0" xfId="7" applyNumberFormat="1" applyFont="1"/>
    <xf numFmtId="0" fontId="14" fillId="0" borderId="0" xfId="0" applyFont="1" applyAlignment="1">
      <alignment horizontal="centerContinuous"/>
    </xf>
    <xf numFmtId="0" fontId="52" fillId="0" borderId="0" xfId="0" applyFont="1"/>
    <xf numFmtId="166" fontId="52" fillId="0" borderId="0" xfId="0" applyNumberFormat="1" applyFont="1"/>
    <xf numFmtId="0" fontId="14" fillId="4" borderId="0" xfId="0" applyFont="1" applyFill="1"/>
    <xf numFmtId="0" fontId="16" fillId="4" borderId="0" xfId="2" applyFont="1" applyFill="1" applyAlignment="1">
      <alignment horizontal="centerContinuous"/>
    </xf>
    <xf numFmtId="0" fontId="52" fillId="4" borderId="0" xfId="0" applyFont="1" applyFill="1"/>
    <xf numFmtId="183" fontId="52" fillId="0" borderId="7" xfId="0" applyNumberFormat="1" applyFont="1" applyBorder="1"/>
    <xf numFmtId="183" fontId="52" fillId="0" borderId="4" xfId="0" applyNumberFormat="1" applyFont="1" applyBorder="1"/>
    <xf numFmtId="166" fontId="52" fillId="0" borderId="8" xfId="0" applyNumberFormat="1" applyFont="1" applyBorder="1"/>
    <xf numFmtId="166" fontId="52" fillId="0" borderId="0" xfId="0" applyNumberFormat="1" applyFont="1" applyBorder="1"/>
    <xf numFmtId="0" fontId="16" fillId="2" borderId="8" xfId="2" applyFont="1" applyFill="1" applyBorder="1" applyAlignment="1">
      <alignment horizontal="centerContinuous"/>
    </xf>
    <xf numFmtId="181" fontId="52" fillId="0" borderId="8" xfId="0" applyNumberFormat="1" applyFont="1" applyBorder="1"/>
    <xf numFmtId="180" fontId="52" fillId="0" borderId="0" xfId="0" applyNumberFormat="1" applyFont="1" applyBorder="1"/>
    <xf numFmtId="183" fontId="52" fillId="0" borderId="8" xfId="0" applyNumberFormat="1" applyFont="1" applyBorder="1"/>
    <xf numFmtId="183" fontId="52" fillId="0" borderId="0" xfId="0" applyNumberFormat="1" applyFont="1" applyBorder="1"/>
    <xf numFmtId="10" fontId="52" fillId="0" borderId="8" xfId="1" applyNumberFormat="1" applyFont="1" applyBorder="1"/>
    <xf numFmtId="10" fontId="52" fillId="0" borderId="0" xfId="1" applyNumberFormat="1" applyFont="1" applyBorder="1"/>
    <xf numFmtId="10" fontId="52" fillId="0" borderId="0" xfId="0" applyNumberFormat="1" applyFont="1" applyBorder="1"/>
    <xf numFmtId="2" fontId="52" fillId="0" borderId="8" xfId="0" applyNumberFormat="1" applyFont="1" applyBorder="1"/>
    <xf numFmtId="2" fontId="52" fillId="0" borderId="9" xfId="1" applyNumberFormat="1" applyFont="1" applyBorder="1"/>
    <xf numFmtId="0" fontId="14" fillId="0" borderId="1" xfId="0" applyFont="1" applyBorder="1" applyAlignment="1">
      <alignment horizontal="center"/>
    </xf>
    <xf numFmtId="0" fontId="14" fillId="0" borderId="2" xfId="0" applyFont="1" applyBorder="1" applyAlignment="1">
      <alignment horizontal="center"/>
    </xf>
    <xf numFmtId="0" fontId="14" fillId="0" borderId="13" xfId="0" applyFont="1" applyBorder="1" applyAlignment="1">
      <alignment horizontal="center" wrapText="1"/>
    </xf>
    <xf numFmtId="183" fontId="52" fillId="0" borderId="15" xfId="0" applyNumberFormat="1" applyFont="1" applyBorder="1"/>
    <xf numFmtId="0" fontId="52" fillId="0" borderId="16" xfId="0" applyFont="1" applyBorder="1"/>
    <xf numFmtId="0" fontId="16" fillId="2" borderId="16" xfId="2" applyFont="1" applyFill="1" applyBorder="1" applyAlignment="1">
      <alignment horizontal="centerContinuous"/>
    </xf>
    <xf numFmtId="182" fontId="52" fillId="0" borderId="16" xfId="0" applyNumberFormat="1" applyFont="1" applyBorder="1"/>
    <xf numFmtId="183" fontId="52" fillId="0" borderId="16" xfId="0" applyNumberFormat="1" applyFont="1" applyBorder="1"/>
    <xf numFmtId="10" fontId="52" fillId="0" borderId="16" xfId="0" applyNumberFormat="1" applyFont="1" applyBorder="1"/>
    <xf numFmtId="2" fontId="52" fillId="0" borderId="17" xfId="0" applyNumberFormat="1" applyFont="1" applyBorder="1"/>
    <xf numFmtId="183" fontId="52" fillId="0" borderId="16" xfId="0" applyNumberFormat="1" applyFont="1" applyBorder="1" applyAlignment="1">
      <alignment horizontal="right"/>
    </xf>
    <xf numFmtId="2" fontId="52" fillId="0" borderId="16" xfId="0" applyNumberFormat="1" applyFont="1" applyBorder="1" applyAlignment="1">
      <alignment horizontal="right"/>
    </xf>
    <xf numFmtId="0" fontId="52" fillId="0" borderId="15" xfId="0" applyFont="1" applyBorder="1"/>
    <xf numFmtId="0" fontId="52" fillId="0" borderId="17" xfId="0" applyFont="1" applyBorder="1"/>
    <xf numFmtId="10" fontId="52" fillId="0" borderId="10" xfId="0" applyNumberFormat="1" applyFont="1" applyBorder="1"/>
    <xf numFmtId="10" fontId="52" fillId="0" borderId="11" xfId="0" applyNumberFormat="1" applyFont="1" applyBorder="1"/>
    <xf numFmtId="10" fontId="52" fillId="0" borderId="16" xfId="1" applyNumberFormat="1" applyFont="1" applyBorder="1"/>
    <xf numFmtId="0" fontId="16" fillId="4" borderId="0" xfId="2" applyFont="1" applyFill="1" applyBorder="1" applyAlignment="1">
      <alignment horizontal="centerContinuous"/>
    </xf>
    <xf numFmtId="0" fontId="47" fillId="4" borderId="0" xfId="0" applyFont="1" applyFill="1" applyBorder="1" applyAlignment="1">
      <alignment horizontal="left"/>
    </xf>
    <xf numFmtId="0" fontId="0" fillId="4" borderId="0" xfId="0" applyFill="1" applyBorder="1" applyAlignment="1"/>
    <xf numFmtId="0" fontId="13" fillId="4" borderId="0" xfId="2" applyFont="1" applyFill="1" applyBorder="1"/>
    <xf numFmtId="0" fontId="46" fillId="4" borderId="0" xfId="0" applyFont="1" applyFill="1" applyBorder="1" applyAlignment="1">
      <alignment horizontal="left"/>
    </xf>
    <xf numFmtId="171" fontId="0" fillId="4" borderId="0" xfId="0" applyNumberFormat="1" applyFill="1" applyBorder="1" applyAlignment="1"/>
    <xf numFmtId="170" fontId="0" fillId="4" borderId="0" xfId="0" applyNumberFormat="1" applyFill="1" applyBorder="1" applyAlignment="1"/>
    <xf numFmtId="7" fontId="0" fillId="4" borderId="0" xfId="0" applyNumberFormat="1" applyFill="1" applyBorder="1" applyAlignment="1"/>
    <xf numFmtId="0" fontId="49" fillId="5" borderId="0" xfId="0" applyFont="1" applyFill="1" applyBorder="1" applyAlignment="1">
      <alignment horizontal="left"/>
    </xf>
    <xf numFmtId="0" fontId="48" fillId="5" borderId="0" xfId="0" applyFont="1" applyFill="1" applyBorder="1" applyAlignment="1">
      <alignment horizontal="right"/>
    </xf>
    <xf numFmtId="0" fontId="50" fillId="5" borderId="0" xfId="0" applyFont="1" applyFill="1" applyBorder="1" applyAlignment="1">
      <alignment horizontal="left"/>
    </xf>
    <xf numFmtId="0" fontId="4" fillId="4" borderId="0" xfId="0" applyFont="1" applyFill="1" applyBorder="1" applyAlignment="1">
      <alignment vertical="top" wrapText="1"/>
    </xf>
    <xf numFmtId="0" fontId="51" fillId="5" borderId="0" xfId="0" applyFont="1" applyFill="1" applyBorder="1" applyAlignment="1">
      <alignment horizontal="left"/>
    </xf>
    <xf numFmtId="171" fontId="46" fillId="4" borderId="0" xfId="0" applyNumberFormat="1" applyFont="1" applyFill="1" applyBorder="1" applyAlignment="1">
      <alignment horizontal="left"/>
    </xf>
    <xf numFmtId="171" fontId="0" fillId="6" borderId="0" xfId="0" applyNumberFormat="1" applyFill="1" applyBorder="1" applyAlignment="1"/>
    <xf numFmtId="0" fontId="53" fillId="5" borderId="0" xfId="0" applyFont="1" applyFill="1" applyBorder="1" applyAlignment="1">
      <alignment horizontal="left"/>
    </xf>
    <xf numFmtId="0" fontId="54" fillId="5" borderId="2" xfId="0" applyFont="1" applyFill="1" applyBorder="1" applyAlignment="1">
      <alignment horizontal="left"/>
    </xf>
    <xf numFmtId="0" fontId="0" fillId="4" borderId="2" xfId="0" applyFill="1" applyBorder="1" applyAlignment="1"/>
    <xf numFmtId="0" fontId="16" fillId="2" borderId="7" xfId="2" applyFont="1" applyFill="1" applyBorder="1" applyAlignment="1">
      <alignment horizontal="centerContinuous"/>
    </xf>
    <xf numFmtId="0" fontId="16" fillId="2" borderId="4" xfId="2" applyFont="1" applyFill="1" applyBorder="1" applyAlignment="1">
      <alignment horizontal="centerContinuous"/>
    </xf>
    <xf numFmtId="0" fontId="16" fillId="2" borderId="5" xfId="2" applyFont="1" applyFill="1" applyBorder="1" applyAlignment="1">
      <alignment horizontal="centerContinuous"/>
    </xf>
    <xf numFmtId="0" fontId="53" fillId="5" borderId="8" xfId="0" applyFont="1" applyFill="1" applyBorder="1" applyAlignment="1">
      <alignment horizontal="left"/>
    </xf>
    <xf numFmtId="0" fontId="4" fillId="4" borderId="6" xfId="0" applyFont="1" applyFill="1" applyBorder="1" applyAlignment="1">
      <alignment vertical="top" wrapText="1"/>
    </xf>
    <xf numFmtId="0" fontId="54" fillId="5" borderId="1" xfId="0" applyFont="1" applyFill="1" applyBorder="1" applyAlignment="1">
      <alignment horizontal="left"/>
    </xf>
    <xf numFmtId="0" fontId="0" fillId="4" borderId="3" xfId="0" applyFill="1" applyBorder="1" applyAlignment="1"/>
    <xf numFmtId="171" fontId="46" fillId="4" borderId="8" xfId="0" applyNumberFormat="1" applyFont="1" applyFill="1" applyBorder="1" applyAlignment="1">
      <alignment horizontal="left"/>
    </xf>
    <xf numFmtId="171" fontId="0" fillId="6" borderId="6" xfId="0" applyNumberFormat="1" applyFill="1" applyBorder="1" applyAlignment="1"/>
    <xf numFmtId="0" fontId="46" fillId="4" borderId="8" xfId="0" applyFont="1" applyFill="1" applyBorder="1" applyAlignment="1">
      <alignment horizontal="left"/>
    </xf>
    <xf numFmtId="170" fontId="0" fillId="4" borderId="6" xfId="0" applyNumberFormat="1" applyFill="1" applyBorder="1" applyAlignment="1"/>
    <xf numFmtId="0" fontId="46" fillId="4" borderId="9" xfId="0" applyFont="1" applyFill="1" applyBorder="1" applyAlignment="1">
      <alignment horizontal="left"/>
    </xf>
    <xf numFmtId="0" fontId="53" fillId="5" borderId="10" xfId="0" applyFont="1" applyFill="1" applyBorder="1" applyAlignment="1">
      <alignment horizontal="left"/>
    </xf>
    <xf numFmtId="7" fontId="0" fillId="4" borderId="10" xfId="0" applyNumberFormat="1" applyFill="1" applyBorder="1" applyAlignment="1"/>
    <xf numFmtId="7" fontId="0" fillId="4" borderId="11" xfId="0" applyNumberFormat="1" applyFill="1" applyBorder="1" applyAlignment="1"/>
    <xf numFmtId="0" fontId="16" fillId="2" borderId="6" xfId="2" applyFont="1" applyFill="1" applyBorder="1" applyAlignment="1">
      <alignment horizontal="center"/>
    </xf>
  </cellXfs>
  <cellStyles count="10">
    <cellStyle name="Comma" xfId="4" builtinId="3"/>
    <cellStyle name="Currency" xfId="5" builtinId="4"/>
    <cellStyle name="Normal" xfId="0" builtinId="0"/>
    <cellStyle name="Normal 2" xfId="2" xr:uid="{00000000-0005-0000-0000-000003000000}"/>
    <cellStyle name="Normal 2 2" xfId="3" xr:uid="{00000000-0005-0000-0000-000004000000}"/>
    <cellStyle name="Normal 3" xfId="6" xr:uid="{00000000-0005-0000-0000-000005000000}"/>
    <cellStyle name="Normal 4" xfId="7" xr:uid="{00000000-0005-0000-0000-000006000000}"/>
    <cellStyle name="Normal 5" xfId="8" xr:uid="{00000000-0005-0000-0000-000007000000}"/>
    <cellStyle name="Normal 6" xfId="9" xr:uid="{00000000-0005-0000-0000-000008000000}"/>
    <cellStyle name="Percent" xfId="1" builtinId="5"/>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styles" Target="styles.xml"/><Relationship Id="rId30" Type="http://schemas.openxmlformats.org/officeDocument/2006/relationships/calcChain" Target="calcChain.xml"/><Relationship Id="rId8" Type="http://schemas.openxmlformats.org/officeDocument/2006/relationships/worksheet" Target="worksheets/sheet8.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Valuation Chart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spPr>
            <a:solidFill>
              <a:schemeClr val="accent1"/>
            </a:solidFill>
            <a:ln>
              <a:noFill/>
            </a:ln>
            <a:effectLst/>
          </c:spPr>
          <c:invertIfNegative val="0"/>
          <c:cat>
            <c:strRef>
              <c:f>'Football Field Chart'!$C$9:$C$13</c:f>
              <c:strCache>
                <c:ptCount val="5"/>
                <c:pt idx="0">
                  <c:v>Public compy EV/Sales range: 2.2x-2.6x</c:v>
                </c:pt>
                <c:pt idx="1">
                  <c:v>Public compy EV/EBITDA range: 8.8x-10.8x</c:v>
                </c:pt>
                <c:pt idx="2">
                  <c:v>DCF w/ perpetuity growth range: 1.5%-4.5%</c:v>
                </c:pt>
                <c:pt idx="3">
                  <c:v>DCF w/ EBITDA exit multiple range: 15.3x-30.3x</c:v>
                </c:pt>
                <c:pt idx="4">
                  <c:v>52 week high-low</c:v>
                </c:pt>
              </c:strCache>
            </c:strRef>
          </c:cat>
          <c:val>
            <c:numRef>
              <c:f>'Football Field Chart'!$D$9:$D$13</c:f>
              <c:numCache>
                <c:formatCode>General</c:formatCode>
                <c:ptCount val="5"/>
              </c:numCache>
            </c:numRef>
          </c:val>
          <c:extLst>
            <c:ext xmlns:c16="http://schemas.microsoft.com/office/drawing/2014/chart" uri="{C3380CC4-5D6E-409C-BE32-E72D297353CC}">
              <c16:uniqueId val="{00000000-92FF-5748-88D9-CF3F1E1E65AC}"/>
            </c:ext>
          </c:extLst>
        </c:ser>
        <c:ser>
          <c:idx val="1"/>
          <c:order val="1"/>
          <c:spPr>
            <a:solidFill>
              <a:schemeClr val="accent2"/>
            </a:solidFill>
            <a:ln>
              <a:noFill/>
            </a:ln>
            <a:effectLst/>
          </c:spPr>
          <c:invertIfNegative val="0"/>
          <c:cat>
            <c:strRef>
              <c:f>'Football Field Chart'!$C$9:$C$13</c:f>
              <c:strCache>
                <c:ptCount val="5"/>
                <c:pt idx="0">
                  <c:v>Public compy EV/Sales range: 2.2x-2.6x</c:v>
                </c:pt>
                <c:pt idx="1">
                  <c:v>Public compy EV/EBITDA range: 8.8x-10.8x</c:v>
                </c:pt>
                <c:pt idx="2">
                  <c:v>DCF w/ perpetuity growth range: 1.5%-4.5%</c:v>
                </c:pt>
                <c:pt idx="3">
                  <c:v>DCF w/ EBITDA exit multiple range: 15.3x-30.3x</c:v>
                </c:pt>
                <c:pt idx="4">
                  <c:v>52 week high-low</c:v>
                </c:pt>
              </c:strCache>
            </c:strRef>
          </c:cat>
          <c:val>
            <c:numRef>
              <c:f>'Football Field Chart'!$E$9:$E$13</c:f>
              <c:numCache>
                <c:formatCode>General</c:formatCode>
                <c:ptCount val="5"/>
              </c:numCache>
            </c:numRef>
          </c:val>
          <c:extLst>
            <c:ext xmlns:c16="http://schemas.microsoft.com/office/drawing/2014/chart" uri="{C3380CC4-5D6E-409C-BE32-E72D297353CC}">
              <c16:uniqueId val="{00000001-92FF-5748-88D9-CF3F1E1E65AC}"/>
            </c:ext>
          </c:extLst>
        </c:ser>
        <c:ser>
          <c:idx val="2"/>
          <c:order val="2"/>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'Football Field Chart'!$C$9:$C$13</c:f>
              <c:strCache>
                <c:ptCount val="5"/>
                <c:pt idx="0">
                  <c:v>Public compy EV/Sales range: 2.2x-2.6x</c:v>
                </c:pt>
                <c:pt idx="1">
                  <c:v>Public compy EV/EBITDA range: 8.8x-10.8x</c:v>
                </c:pt>
                <c:pt idx="2">
                  <c:v>DCF w/ perpetuity growth range: 1.5%-4.5%</c:v>
                </c:pt>
                <c:pt idx="3">
                  <c:v>DCF w/ EBITDA exit multiple range: 15.3x-30.3x</c:v>
                </c:pt>
                <c:pt idx="4">
                  <c:v>52 week high-low</c:v>
                </c:pt>
              </c:strCache>
            </c:strRef>
          </c:cat>
          <c:val>
            <c:numRef>
              <c:f>'Football Field Chart'!$F$9:$F$13</c:f>
              <c:numCache>
                <c:formatCode>"$"#,##0.00_);\("$"#,##0.00\)</c:formatCode>
                <c:ptCount val="5"/>
                <c:pt idx="0">
                  <c:v>163.77007562320409</c:v>
                </c:pt>
                <c:pt idx="1">
                  <c:v>104.89130638954343</c:v>
                </c:pt>
                <c:pt idx="2">
                  <c:v>285.05308213307256</c:v>
                </c:pt>
                <c:pt idx="3">
                  <c:v>261.08637373125765</c:v>
                </c:pt>
                <c:pt idx="4">
                  <c:v>40.76</c:v>
                </c:pt>
              </c:numCache>
            </c:numRef>
          </c:val>
          <c:extLst>
            <c:ext xmlns:c16="http://schemas.microsoft.com/office/drawing/2014/chart" uri="{C3380CC4-5D6E-409C-BE32-E72D297353CC}">
              <c16:uniqueId val="{00000002-92FF-5748-88D9-CF3F1E1E65AC}"/>
            </c:ext>
          </c:extLst>
        </c:ser>
        <c:ser>
          <c:idx val="3"/>
          <c:order val="3"/>
          <c:spPr>
            <a:solidFill>
              <a:srgbClr val="C00000"/>
            </a:solidFill>
            <a:ln>
              <a:noFill/>
            </a:ln>
            <a:effectLst/>
          </c:spPr>
          <c:invertIfNegative val="0"/>
          <c:cat>
            <c:strRef>
              <c:f>'Football Field Chart'!$C$9:$C$13</c:f>
              <c:strCache>
                <c:ptCount val="5"/>
                <c:pt idx="0">
                  <c:v>Public compy EV/Sales range: 2.2x-2.6x</c:v>
                </c:pt>
                <c:pt idx="1">
                  <c:v>Public compy EV/EBITDA range: 8.8x-10.8x</c:v>
                </c:pt>
                <c:pt idx="2">
                  <c:v>DCF w/ perpetuity growth range: 1.5%-4.5%</c:v>
                </c:pt>
                <c:pt idx="3">
                  <c:v>DCF w/ EBITDA exit multiple range: 15.3x-30.3x</c:v>
                </c:pt>
                <c:pt idx="4">
                  <c:v>52 week high-low</c:v>
                </c:pt>
              </c:strCache>
            </c:strRef>
          </c:cat>
          <c:val>
            <c:numRef>
              <c:f>'Football Field Chart'!$G$9:$G$13</c:f>
              <c:numCache>
                <c:formatCode>#,##0.00_);\(#,##0.00\)</c:formatCode>
                <c:ptCount val="5"/>
                <c:pt idx="0">
                  <c:v>33.491738171460582</c:v>
                </c:pt>
                <c:pt idx="1">
                  <c:v>28.884605923779006</c:v>
                </c:pt>
                <c:pt idx="2">
                  <c:v>158.67872848456886</c:v>
                </c:pt>
                <c:pt idx="3">
                  <c:v>215.81579849401436</c:v>
                </c:pt>
                <c:pt idx="4">
                  <c:v>103.24000000000001</c:v>
                </c:pt>
              </c:numCache>
            </c:numRef>
          </c:val>
          <c:extLst>
            <c:ext xmlns:c16="http://schemas.microsoft.com/office/drawing/2014/chart" uri="{C3380CC4-5D6E-409C-BE32-E72D297353CC}">
              <c16:uniqueId val="{00000003-92FF-5748-88D9-CF3F1E1E65AC}"/>
            </c:ext>
          </c:extLst>
        </c:ser>
        <c:ser>
          <c:idx val="4"/>
          <c:order val="4"/>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'Football Field Chart'!$C$9:$C$13</c:f>
              <c:strCache>
                <c:ptCount val="5"/>
                <c:pt idx="0">
                  <c:v>Public compy EV/Sales range: 2.2x-2.6x</c:v>
                </c:pt>
                <c:pt idx="1">
                  <c:v>Public compy EV/EBITDA range: 8.8x-10.8x</c:v>
                </c:pt>
                <c:pt idx="2">
                  <c:v>DCF w/ perpetuity growth range: 1.5%-4.5%</c:v>
                </c:pt>
                <c:pt idx="3">
                  <c:v>DCF w/ EBITDA exit multiple range: 15.3x-30.3x</c:v>
                </c:pt>
                <c:pt idx="4">
                  <c:v>52 week high-low</c:v>
                </c:pt>
              </c:strCache>
            </c:strRef>
          </c:cat>
          <c:val>
            <c:numRef>
              <c:f>'Football Field Chart'!$H$9:$H$13</c:f>
              <c:numCache>
                <c:formatCode>"$"#,##0.00_);\("$"#,##0.00\)</c:formatCode>
                <c:ptCount val="5"/>
                <c:pt idx="0">
                  <c:v>197.26181379466468</c:v>
                </c:pt>
                <c:pt idx="1">
                  <c:v>133.77591231332244</c:v>
                </c:pt>
                <c:pt idx="2">
                  <c:v>443.73181061764143</c:v>
                </c:pt>
                <c:pt idx="3">
                  <c:v>476.90217222527201</c:v>
                </c:pt>
                <c:pt idx="4">
                  <c:v>144</c:v>
                </c:pt>
              </c:numCache>
            </c:numRef>
          </c:val>
          <c:extLst>
            <c:ext xmlns:c16="http://schemas.microsoft.com/office/drawing/2014/chart" uri="{C3380CC4-5D6E-409C-BE32-E72D297353CC}">
              <c16:uniqueId val="{00000004-92FF-5748-88D9-CF3F1E1E65AC}"/>
            </c:ext>
          </c:extLst>
        </c:ser>
        <c:dLbls>
          <c:showLegendKey val="0"/>
          <c:showVal val="0"/>
          <c:showCatName val="0"/>
          <c:showSerName val="0"/>
          <c:showPercent val="0"/>
          <c:showBubbleSize val="0"/>
        </c:dLbls>
        <c:gapWidth val="150"/>
        <c:overlap val="100"/>
        <c:axId val="965587280"/>
        <c:axId val="965230688"/>
      </c:barChart>
      <c:lineChart>
        <c:grouping val="standard"/>
        <c:varyColors val="0"/>
        <c:ser>
          <c:idx val="5"/>
          <c:order val="5"/>
          <c:spPr>
            <a:ln w="28575" cap="rnd">
              <a:solidFill>
                <a:srgbClr val="0070C0"/>
              </a:solidFill>
              <a:prstDash val="sysDash"/>
              <a:round/>
            </a:ln>
            <a:effectLst/>
          </c:spPr>
          <c:marker>
            <c:symbol val="none"/>
          </c:marker>
          <c:dLbls>
            <c:dLbl>
              <c:idx val="0"/>
              <c:delete val="1"/>
              <c:extLst>
                <c:ext xmlns:c15="http://schemas.microsoft.com/office/drawing/2012/chart" uri="{CE6537A1-D6FC-4f65-9D91-7224C49458BB}"/>
                <c:ext xmlns:c16="http://schemas.microsoft.com/office/drawing/2014/chart" uri="{C3380CC4-5D6E-409C-BE32-E72D297353CC}">
                  <c16:uniqueId val="{00000001-FEC6-4ED3-9648-C80C596AF16F}"/>
                </c:ext>
              </c:extLst>
            </c:dLbl>
            <c:dLbl>
              <c:idx val="1"/>
              <c:delete val="1"/>
              <c:extLst>
                <c:ext xmlns:c15="http://schemas.microsoft.com/office/drawing/2012/chart" uri="{CE6537A1-D6FC-4f65-9D91-7224C49458BB}"/>
                <c:ext xmlns:c16="http://schemas.microsoft.com/office/drawing/2014/chart" uri="{C3380CC4-5D6E-409C-BE32-E72D297353CC}">
                  <c16:uniqueId val="{00000002-FEC6-4ED3-9648-C80C596AF16F}"/>
                </c:ext>
              </c:extLst>
            </c:dLbl>
            <c:dLbl>
              <c:idx val="2"/>
              <c:layout>
                <c:manualLayout>
                  <c:x val="-0.45891384309883088"/>
                  <c:y val="-1.5638492337030282E-1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FEC6-4ED3-9648-C80C596AF16F}"/>
                </c:ext>
              </c:extLst>
            </c:dLbl>
            <c:dLbl>
              <c:idx val="3"/>
              <c:delete val="1"/>
              <c:extLst>
                <c:ext xmlns:c15="http://schemas.microsoft.com/office/drawing/2012/chart" uri="{CE6537A1-D6FC-4f65-9D91-7224C49458BB}"/>
                <c:ext xmlns:c16="http://schemas.microsoft.com/office/drawing/2014/chart" uri="{C3380CC4-5D6E-409C-BE32-E72D297353CC}">
                  <c16:uniqueId val="{00000003-FEC6-4ED3-9648-C80C596AF16F}"/>
                </c:ext>
              </c:extLst>
            </c:dLbl>
            <c:dLbl>
              <c:idx val="4"/>
              <c:delete val="1"/>
              <c:extLst>
                <c:ext xmlns:c15="http://schemas.microsoft.com/office/drawing/2012/chart" uri="{CE6537A1-D6FC-4f65-9D91-7224C49458BB}"/>
                <c:ext xmlns:c16="http://schemas.microsoft.com/office/drawing/2014/chart" uri="{C3380CC4-5D6E-409C-BE32-E72D297353CC}">
                  <c16:uniqueId val="{00000005-FEC6-4ED3-9648-C80C596AF16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'Football Field Chart'!$C$9:$C$13</c:f>
              <c:strCache>
                <c:ptCount val="5"/>
                <c:pt idx="0">
                  <c:v>Public compy EV/Sales range: 2.2x-2.6x</c:v>
                </c:pt>
                <c:pt idx="1">
                  <c:v>Public compy EV/EBITDA range: 8.8x-10.8x</c:v>
                </c:pt>
                <c:pt idx="2">
                  <c:v>DCF w/ perpetuity growth range: 1.5%-4.5%</c:v>
                </c:pt>
                <c:pt idx="3">
                  <c:v>DCF w/ EBITDA exit multiple range: 15.3x-30.3x</c:v>
                </c:pt>
                <c:pt idx="4">
                  <c:v>52 week high-low</c:v>
                </c:pt>
              </c:strCache>
            </c:strRef>
          </c:cat>
          <c:val>
            <c:numRef>
              <c:f>'Football Field Chart'!$M$9:$M$13</c:f>
              <c:numCache>
                <c:formatCode>"$"#,##0.00_);\("$"#,##0.00\)</c:formatCode>
                <c:ptCount val="5"/>
                <c:pt idx="0">
                  <c:v>66.569999999999993</c:v>
                </c:pt>
                <c:pt idx="1">
                  <c:v>66.569999999999993</c:v>
                </c:pt>
                <c:pt idx="2">
                  <c:v>66.569999999999993</c:v>
                </c:pt>
                <c:pt idx="3">
                  <c:v>66.569999999999993</c:v>
                </c:pt>
                <c:pt idx="4">
                  <c:v>66.569999999999993</c:v>
                </c:pt>
              </c:numCache>
            </c:numRef>
          </c:val>
          <c:smooth val="0"/>
          <c:extLst>
            <c:ext xmlns:c16="http://schemas.microsoft.com/office/drawing/2014/chart" uri="{C3380CC4-5D6E-409C-BE32-E72D297353CC}">
              <c16:uniqueId val="{00000000-FEC6-4ED3-9648-C80C596AF16F}"/>
            </c:ext>
          </c:extLst>
        </c:ser>
        <c:dLbls>
          <c:showLegendKey val="0"/>
          <c:showVal val="0"/>
          <c:showCatName val="0"/>
          <c:showSerName val="0"/>
          <c:showPercent val="0"/>
          <c:showBubbleSize val="0"/>
        </c:dLbls>
        <c:marker val="1"/>
        <c:smooth val="0"/>
        <c:axId val="965587280"/>
        <c:axId val="965230688"/>
      </c:lineChart>
      <c:catAx>
        <c:axId val="9655872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5230688"/>
        <c:crosses val="autoZero"/>
        <c:auto val="1"/>
        <c:lblAlgn val="ctr"/>
        <c:lblOffset val="100"/>
        <c:noMultiLvlLbl val="0"/>
      </c:catAx>
      <c:valAx>
        <c:axId val="965230688"/>
        <c:scaling>
          <c:orientation val="minMax"/>
          <c:max val="500"/>
          <c:min val="0"/>
        </c:scaling>
        <c:delete val="0"/>
        <c:axPos val="l"/>
        <c:majorGridlines>
          <c:spPr>
            <a:ln w="9525" cap="flat" cmpd="sng" algn="ctr">
              <a:noFill/>
              <a:round/>
            </a:ln>
            <a:effectLst/>
          </c:spPr>
        </c:majorGridlines>
        <c:numFmt formatCode="General" sourceLinked="1"/>
        <c:majorTickMark val="in"/>
        <c:minorTickMark val="none"/>
        <c:tickLblPos val="nextTo"/>
        <c:spPr>
          <a:noFill/>
          <a:ln>
            <a:solidFill>
              <a:schemeClr val="bg2"/>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65587280"/>
        <c:crosses val="autoZero"/>
        <c:crossBetween val="between"/>
        <c:majorUnit val="1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3</xdr:col>
      <xdr:colOff>141653</xdr:colOff>
      <xdr:row>14</xdr:row>
      <xdr:rowOff>123092</xdr:rowOff>
    </xdr:from>
    <xdr:to>
      <xdr:col>10</xdr:col>
      <xdr:colOff>508000</xdr:colOff>
      <xdr:row>32</xdr:row>
      <xdr:rowOff>116417</xdr:rowOff>
    </xdr:to>
    <xdr:graphicFrame macro="">
      <xdr:nvGraphicFramePr>
        <xdr:cNvPr id="2" name="Chart 1">
          <a:extLst>
            <a:ext uri="{FF2B5EF4-FFF2-40B4-BE49-F238E27FC236}">
              <a16:creationId xmlns:a16="http://schemas.microsoft.com/office/drawing/2014/main" id="{02C4489C-3594-654D-BA20-941C07FBE60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476250" cy="476250"/>
    <xdr:pic>
      <xdr:nvPicPr>
        <xdr:cNvPr id="2" name="Logo" descr="Logo">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476250" cy="476250"/>
        </a:xfrm>
        <a:prstGeom prst="rect">
          <a:avLst/>
        </a:prstGeom>
      </xdr:spPr>
    </xdr:pic>
    <xdr:clientData/>
  </xdr:oneCellAnchor>
  <xdr:oneCellAnchor>
    <xdr:from>
      <xdr:col>0</xdr:col>
      <xdr:colOff>0</xdr:colOff>
      <xdr:row>0</xdr:row>
      <xdr:rowOff>0</xdr:rowOff>
    </xdr:from>
    <xdr:ext cx="476250" cy="476250"/>
    <xdr:pic>
      <xdr:nvPicPr>
        <xdr:cNvPr id="3" name="Logo" descr="Logo">
          <a:extLst>
            <a:ext uri="{FF2B5EF4-FFF2-40B4-BE49-F238E27FC236}">
              <a16:creationId xmlns:a16="http://schemas.microsoft.com/office/drawing/2014/main" id="{81B861EE-867E-4E0C-ADEE-526ADACBEF23}"/>
            </a:ext>
          </a:extLst>
        </xdr:cNvPr>
        <xdr:cNvPicPr>
          <a:picLocks noChangeAspect="1"/>
        </xdr:cNvPicPr>
      </xdr:nvPicPr>
      <xdr:blipFill>
        <a:blip xmlns:r="http://schemas.openxmlformats.org/officeDocument/2006/relationships" r:embed="rId1"/>
        <a:stretch>
          <a:fillRect/>
        </a:stretch>
      </xdr:blipFill>
      <xdr:spPr>
        <a:xfrm>
          <a:off x="0" y="0"/>
          <a:ext cx="476250" cy="476250"/>
        </a:xfrm>
        <a:prstGeom prst="rect">
          <a:avLst/>
        </a:prstGeom>
      </xdr:spPr>
    </xdr:pic>
    <xdr:clientData/>
  </xdr:oneCellAnchor>
  <xdr:oneCellAnchor>
    <xdr:from>
      <xdr:col>0</xdr:col>
      <xdr:colOff>0</xdr:colOff>
      <xdr:row>0</xdr:row>
      <xdr:rowOff>0</xdr:rowOff>
    </xdr:from>
    <xdr:ext cx="476250" cy="476250"/>
    <xdr:pic>
      <xdr:nvPicPr>
        <xdr:cNvPr id="4" name="Logo" descr="Logo">
          <a:extLst>
            <a:ext uri="{FF2B5EF4-FFF2-40B4-BE49-F238E27FC236}">
              <a16:creationId xmlns:a16="http://schemas.microsoft.com/office/drawing/2014/main" id="{D44C35FD-6DB5-425C-80B7-AF299FBEEBFD}"/>
            </a:ext>
          </a:extLst>
        </xdr:cNvPr>
        <xdr:cNvPicPr>
          <a:picLocks noChangeAspect="1"/>
        </xdr:cNvPicPr>
      </xdr:nvPicPr>
      <xdr:blipFill>
        <a:blip xmlns:r="http://schemas.openxmlformats.org/officeDocument/2006/relationships" r:embed="rId2"/>
        <a:stretch>
          <a:fillRect/>
        </a:stretch>
      </xdr:blipFill>
      <xdr:spPr>
        <a:xfrm>
          <a:off x="0" y="0"/>
          <a:ext cx="476250" cy="47625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476250" cy="476250"/>
    <xdr:pic>
      <xdr:nvPicPr>
        <xdr:cNvPr id="2" name="Logo" descr="Logo">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476250" cy="476250"/>
        </a:xfrm>
        <a:prstGeom prst="rect">
          <a:avLst/>
        </a:prstGeom>
      </xdr:spPr>
    </xdr:pic>
    <xdr:clientData/>
  </xdr:oneCellAnchor>
  <xdr:oneCellAnchor>
    <xdr:from>
      <xdr:col>0</xdr:col>
      <xdr:colOff>0</xdr:colOff>
      <xdr:row>0</xdr:row>
      <xdr:rowOff>0</xdr:rowOff>
    </xdr:from>
    <xdr:ext cx="476250" cy="476250"/>
    <xdr:pic>
      <xdr:nvPicPr>
        <xdr:cNvPr id="3" name="Logo" descr="Logo">
          <a:extLst>
            <a:ext uri="{FF2B5EF4-FFF2-40B4-BE49-F238E27FC236}">
              <a16:creationId xmlns:a16="http://schemas.microsoft.com/office/drawing/2014/main" id="{1C360472-52F1-4739-91CC-8732FB2E7FF4}"/>
            </a:ext>
          </a:extLst>
        </xdr:cNvPr>
        <xdr:cNvPicPr>
          <a:picLocks noChangeAspect="1"/>
        </xdr:cNvPicPr>
      </xdr:nvPicPr>
      <xdr:blipFill>
        <a:blip xmlns:r="http://schemas.openxmlformats.org/officeDocument/2006/relationships" r:embed="rId2"/>
        <a:stretch>
          <a:fillRect/>
        </a:stretch>
      </xdr:blipFill>
      <xdr:spPr>
        <a:xfrm>
          <a:off x="0" y="0"/>
          <a:ext cx="476250" cy="476250"/>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0</xdr:row>
      <xdr:rowOff>0</xdr:rowOff>
    </xdr:from>
    <xdr:ext cx="476250" cy="476250"/>
    <xdr:pic>
      <xdr:nvPicPr>
        <xdr:cNvPr id="2" name="Logo" descr="Logo">
          <a:extLst>
            <a:ext uri="{FF2B5EF4-FFF2-40B4-BE49-F238E27FC236}">
              <a16:creationId xmlns:a16="http://schemas.microsoft.com/office/drawing/2014/main" id="{EC3E794C-F3A2-42FB-BB77-8DD81FA11AD4}"/>
            </a:ext>
          </a:extLst>
        </xdr:cNvPr>
        <xdr:cNvPicPr>
          <a:picLocks noChangeAspect="1"/>
        </xdr:cNvPicPr>
      </xdr:nvPicPr>
      <xdr:blipFill>
        <a:blip xmlns:r="http://schemas.openxmlformats.org/officeDocument/2006/relationships" r:embed="rId1"/>
        <a:stretch>
          <a:fillRect/>
        </a:stretch>
      </xdr:blipFill>
      <xdr:spPr>
        <a:xfrm>
          <a:off x="0" y="0"/>
          <a:ext cx="476250" cy="476250"/>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0</xdr:row>
      <xdr:rowOff>0</xdr:rowOff>
    </xdr:from>
    <xdr:ext cx="476250" cy="476250"/>
    <xdr:pic>
      <xdr:nvPicPr>
        <xdr:cNvPr id="2" name="Logo" descr="Logo">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0</xdr:row>
      <xdr:rowOff>0</xdr:rowOff>
    </xdr:from>
    <xdr:ext cx="476250" cy="476250"/>
    <xdr:pic>
      <xdr:nvPicPr>
        <xdr:cNvPr id="2" name="Logo" descr="Logo">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476250" cy="476250"/>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0</xdr:colOff>
      <xdr:row>0</xdr:row>
      <xdr:rowOff>0</xdr:rowOff>
    </xdr:from>
    <xdr:ext cx="476250" cy="476250"/>
    <xdr:pic>
      <xdr:nvPicPr>
        <xdr:cNvPr id="2" name="Logo" descr="Logo">
          <a:extLst>
            <a:ext uri="{FF2B5EF4-FFF2-40B4-BE49-F238E27FC236}">
              <a16:creationId xmlns:a16="http://schemas.microsoft.com/office/drawing/2014/main" id="{43248646-932C-4A4D-8616-D1B89A578DB0}"/>
            </a:ext>
          </a:extLst>
        </xdr:cNvPr>
        <xdr:cNvPicPr>
          <a:picLocks noChangeAspect="1"/>
        </xdr:cNvPicPr>
      </xdr:nvPicPr>
      <xdr:blipFill>
        <a:blip xmlns:r="http://schemas.openxmlformats.org/officeDocument/2006/relationships" r:embed="rId1"/>
        <a:stretch>
          <a:fillRect/>
        </a:stretch>
      </xdr:blipFill>
      <xdr:spPr>
        <a:xfrm>
          <a:off x="0" y="0"/>
          <a:ext cx="476250" cy="476250"/>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0</xdr:colOff>
      <xdr:row>0</xdr:row>
      <xdr:rowOff>0</xdr:rowOff>
    </xdr:from>
    <xdr:ext cx="476250" cy="476250"/>
    <xdr:pic>
      <xdr:nvPicPr>
        <xdr:cNvPr id="2" name="Logo" descr="Logo">
          <a:extLst>
            <a:ext uri="{FF2B5EF4-FFF2-40B4-BE49-F238E27FC236}">
              <a16:creationId xmlns:a16="http://schemas.microsoft.com/office/drawing/2014/main" id="{0D15077D-7FDB-A140-9820-87FC0BB9BBAA}"/>
            </a:ext>
          </a:extLst>
        </xdr:cNvPr>
        <xdr:cNvPicPr>
          <a:picLocks noChangeAspect="1"/>
        </xdr:cNvPicPr>
      </xdr:nvPicPr>
      <xdr:blipFill>
        <a:blip xmlns:r="http://schemas.openxmlformats.org/officeDocument/2006/relationships" r:embed="rId1"/>
        <a:stretch>
          <a:fillRect/>
        </a:stretch>
      </xdr:blipFill>
      <xdr:spPr>
        <a:xfrm>
          <a:off x="0" y="0"/>
          <a:ext cx="476250" cy="47625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Dropbox/Teaching/FNCE%203477/Gentex%20case%20study/2018S/9.%20Gentex_PublicComps_Solution_2018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Dropbox/Teaching/FNCE%203477/Gentex%20case%20study/2018S/10.%20Gentex_ValuationChart_Solution_2018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docs.live.net/Dropbox/Teaching/FNCE%203477/Gentex%20case%20study/2017S/KKD_multiple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docs.live.net/Users/htran13/Downloads/KKD_multipl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s"/>
      <sheetName val="VC_LTM"/>
      <sheetName val="VC_IS"/>
      <sheetName val="VC_CF"/>
      <sheetName val="VC_BS"/>
      <sheetName val="THRM_LTM"/>
      <sheetName val="THRM_IS"/>
      <sheetName val="THRM_CF"/>
      <sheetName val="THRM_BS"/>
      <sheetName val="BWA_LTM"/>
      <sheetName val="BWA_IS"/>
      <sheetName val="BWA_CF"/>
      <sheetName val="BWA_BS"/>
      <sheetName val="AXL_LTM"/>
      <sheetName val="AXL_IS"/>
      <sheetName val="AXL_CF"/>
      <sheetName val="AXL_BS"/>
      <sheetName val="DAN_LTM"/>
      <sheetName val="DAN_IS"/>
      <sheetName val="DAN_CF"/>
      <sheetName val="DAN_BS"/>
      <sheetName val="LEA_LTM"/>
      <sheetName val="LEA_IS"/>
      <sheetName val="LEA_CF"/>
      <sheetName val="LEA_BS"/>
      <sheetName val="GNTX_LTM"/>
      <sheetName val="Gentex_IS"/>
      <sheetName val="Gentex_CF"/>
      <sheetName val="Gentex_BS"/>
      <sheetName val="GNTX_DCF"/>
      <sheetName val="RegBeta"/>
      <sheetName val="Gentex_BS_Vertical"/>
      <sheetName val="Gentex_IS_Vertical"/>
      <sheetName val="Gentex_IS_Horizontal"/>
      <sheetName val="Gentex_Ratios"/>
    </sheetNames>
    <sheetDataSet>
      <sheetData sheetId="0" refreshError="1"/>
      <sheetData sheetId="1"/>
      <sheetData sheetId="2" refreshError="1"/>
      <sheetData sheetId="3" refreshError="1"/>
      <sheetData sheetId="4">
        <row r="109">
          <cell r="B109">
            <v>393</v>
          </cell>
        </row>
      </sheetData>
      <sheetData sheetId="5"/>
      <sheetData sheetId="6" refreshError="1"/>
      <sheetData sheetId="7" refreshError="1"/>
      <sheetData sheetId="8">
        <row r="78">
          <cell r="B78">
            <v>144.66900000000001</v>
          </cell>
        </row>
      </sheetData>
      <sheetData sheetId="9"/>
      <sheetData sheetId="10" refreshError="1"/>
      <sheetData sheetId="11" refreshError="1"/>
      <sheetData sheetId="12">
        <row r="111">
          <cell r="B111">
            <v>2188.2999999999997</v>
          </cell>
        </row>
      </sheetData>
      <sheetData sheetId="13"/>
      <sheetData sheetId="14" refreshError="1"/>
      <sheetData sheetId="15" refreshError="1"/>
      <sheetData sheetId="16">
        <row r="65">
          <cell r="B65">
            <v>3975.2000000000003</v>
          </cell>
        </row>
      </sheetData>
      <sheetData sheetId="17"/>
      <sheetData sheetId="18" refreshError="1"/>
      <sheetData sheetId="19" refreshError="1"/>
      <sheetData sheetId="20">
        <row r="94">
          <cell r="B94">
            <v>1799</v>
          </cell>
        </row>
      </sheetData>
      <sheetData sheetId="21"/>
      <sheetData sheetId="22" refreshError="1"/>
      <sheetData sheetId="23" refreshError="1"/>
      <sheetData sheetId="24">
        <row r="58">
          <cell r="B58">
            <v>1960.5</v>
          </cell>
        </row>
      </sheetData>
      <sheetData sheetId="25">
        <row r="11">
          <cell r="E11">
            <v>-644.27200000000005</v>
          </cell>
        </row>
        <row r="12">
          <cell r="E12">
            <v>0</v>
          </cell>
        </row>
        <row r="13">
          <cell r="E13">
            <v>0</v>
          </cell>
        </row>
      </sheetData>
      <sheetData sheetId="26" refreshError="1"/>
      <sheetData sheetId="27" refreshError="1"/>
      <sheetData sheetId="28" refreshError="1"/>
      <sheetData sheetId="29"/>
      <sheetData sheetId="30" refreshError="1"/>
      <sheetData sheetId="31" refreshError="1"/>
      <sheetData sheetId="32" refreshError="1"/>
      <sheetData sheetId="33" refreshError="1"/>
      <sheetData sheetId="3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NTX_Chart"/>
      <sheetName val="GNTX_DCF"/>
      <sheetName val="GNTX_Comps"/>
      <sheetName val="VC_LTM"/>
      <sheetName val="VC_IS"/>
      <sheetName val="VC_CF"/>
      <sheetName val="VC_BS"/>
      <sheetName val="THRM_LTM"/>
      <sheetName val="THRM_IS"/>
      <sheetName val="THRM_CF"/>
      <sheetName val="THRM_BS"/>
      <sheetName val="BWA_LTM"/>
      <sheetName val="BWA_IS"/>
      <sheetName val="BWA_CF"/>
      <sheetName val="BWA_BS"/>
      <sheetName val="AXL_LTM"/>
      <sheetName val="AXL_IS"/>
      <sheetName val="AXL_CF"/>
      <sheetName val="AXL_BS"/>
      <sheetName val="DAN_LTM"/>
      <sheetName val="DAN_IS"/>
      <sheetName val="DAN_CF"/>
      <sheetName val="DAN_BS"/>
      <sheetName val="LEA_LTM"/>
      <sheetName val="LEA_IS"/>
      <sheetName val="LEA_CF"/>
      <sheetName val="LEA_BS"/>
      <sheetName val="GNTX_LTM"/>
      <sheetName val="Gentex_IS"/>
      <sheetName val="Gentex_CF"/>
      <sheetName val="Gentex_BS"/>
      <sheetName val="RegBeta"/>
      <sheetName val="Gentex_BS_Vertical"/>
      <sheetName val="Gentex_IS_Vertical"/>
      <sheetName val="Gentex_IS_Horizontal"/>
      <sheetName val="Gentex_Ratios"/>
    </sheetNames>
    <sheetDataSet>
      <sheetData sheetId="0">
        <row r="8">
          <cell r="F8" t="str">
            <v>Low</v>
          </cell>
        </row>
      </sheetData>
      <sheetData sheetId="1"/>
      <sheetData sheetId="2"/>
      <sheetData sheetId="3"/>
      <sheetData sheetId="4"/>
      <sheetData sheetId="5">
        <row r="109">
          <cell r="B109">
            <v>393</v>
          </cell>
        </row>
      </sheetData>
      <sheetData sheetId="6">
        <row r="109">
          <cell r="B109">
            <v>393</v>
          </cell>
        </row>
      </sheetData>
      <sheetData sheetId="7"/>
      <sheetData sheetId="8"/>
      <sheetData sheetId="9">
        <row r="78">
          <cell r="B78">
            <v>144.66900000000001</v>
          </cell>
        </row>
      </sheetData>
      <sheetData sheetId="10">
        <row r="78">
          <cell r="B78">
            <v>144.66900000000001</v>
          </cell>
        </row>
      </sheetData>
      <sheetData sheetId="11"/>
      <sheetData sheetId="12"/>
      <sheetData sheetId="13">
        <row r="111">
          <cell r="B111">
            <v>2188.2999999999997</v>
          </cell>
        </row>
      </sheetData>
      <sheetData sheetId="14">
        <row r="111">
          <cell r="B111">
            <v>2188.2999999999997</v>
          </cell>
        </row>
      </sheetData>
      <sheetData sheetId="15"/>
      <sheetData sheetId="16"/>
      <sheetData sheetId="17">
        <row r="65">
          <cell r="B65">
            <v>3975.2000000000003</v>
          </cell>
        </row>
      </sheetData>
      <sheetData sheetId="18">
        <row r="65">
          <cell r="B65">
            <v>3975.2000000000003</v>
          </cell>
        </row>
      </sheetData>
      <sheetData sheetId="19"/>
      <sheetData sheetId="20"/>
      <sheetData sheetId="21">
        <row r="94">
          <cell r="B94">
            <v>1799</v>
          </cell>
        </row>
      </sheetData>
      <sheetData sheetId="22">
        <row r="94">
          <cell r="B94">
            <v>1799</v>
          </cell>
        </row>
      </sheetData>
      <sheetData sheetId="23"/>
      <sheetData sheetId="24"/>
      <sheetData sheetId="25">
        <row r="58">
          <cell r="B58">
            <v>1960.5</v>
          </cell>
        </row>
      </sheetData>
      <sheetData sheetId="26">
        <row r="11">
          <cell r="E11">
            <v>-644.27200000000005</v>
          </cell>
        </row>
        <row r="58">
          <cell r="B58">
            <v>1960.5</v>
          </cell>
        </row>
      </sheetData>
      <sheetData sheetId="27">
        <row r="11">
          <cell r="E11">
            <v>-644.27200000000005</v>
          </cell>
        </row>
        <row r="12">
          <cell r="E12">
            <v>0</v>
          </cell>
        </row>
        <row r="13">
          <cell r="E13">
            <v>0</v>
          </cell>
        </row>
      </sheetData>
      <sheetData sheetId="28"/>
      <sheetData sheetId="29"/>
      <sheetData sheetId="30">
        <row r="30">
          <cell r="B30">
            <v>78</v>
          </cell>
        </row>
      </sheetData>
      <sheetData sheetId="31">
        <row r="2">
          <cell r="H2">
            <v>1.2817751894259708</v>
          </cell>
        </row>
      </sheetData>
      <sheetData sheetId="32"/>
      <sheetData sheetId="33"/>
      <sheetData sheetId="34"/>
      <sheetData sheetId="3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ummary_Perf"/>
      <sheetName val="KKD_IS_LY"/>
      <sheetName val="KKD_IS_LQ"/>
      <sheetName val="KKD_BS_LQ"/>
      <sheetName val="KKD_LTM"/>
      <sheetName val="Dunkin_BS_LY"/>
      <sheetName val="Dunkin_IS_LY"/>
      <sheetName val="Denny_BS_LQ"/>
      <sheetName val="Denny_IS_LY"/>
      <sheetName val="Denny_IS_LQ"/>
      <sheetName val="Denny_LTM"/>
      <sheetName val="Sonic_BS_LQ"/>
      <sheetName val="Sonic_IS_LY"/>
      <sheetName val="Sonic_IS_LQ"/>
      <sheetName val="Sonic_LTM"/>
      <sheetName val="Panera_BS_LY"/>
      <sheetName val="Panera_IS_LY"/>
      <sheetName val="DineEquity_BS_LQ"/>
      <sheetName val="DineEquity_IS_LY"/>
      <sheetName val="DineEquity_IS_LQ"/>
      <sheetName val="DineEquity_LTM"/>
      <sheetName val="RedRobin_BS_LY"/>
      <sheetName val="RedRobin_IS_LY"/>
    </sheetNames>
    <sheetDataSet>
      <sheetData sheetId="0"/>
      <sheetData sheetId="1"/>
      <sheetData sheetId="2"/>
      <sheetData sheetId="3"/>
      <sheetData sheetId="4">
        <row r="3">
          <cell r="B3">
            <v>37.268999999999998</v>
          </cell>
        </row>
      </sheetData>
      <sheetData sheetId="5">
        <row r="6">
          <cell r="E6">
            <v>68.782999999999973</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Summary_Perf"/>
      <sheetName val="KKD_IS_LY"/>
      <sheetName val="KKD_IS_LQ"/>
      <sheetName val="KKD_BS_LQ"/>
      <sheetName val="KKD_LTM"/>
      <sheetName val="Dunkin_BS_LY"/>
      <sheetName val="Dunkin_IS_LY"/>
      <sheetName val="Denny_BS_LQ"/>
      <sheetName val="Denny_IS_LY"/>
      <sheetName val="Denny_IS_LQ"/>
      <sheetName val="Denny_LTM"/>
      <sheetName val="Sonic_BS_LQ"/>
      <sheetName val="Sonic_IS_LY"/>
      <sheetName val="Sonic_IS_LQ"/>
      <sheetName val="Sonic_LTM"/>
      <sheetName val="Panera_BS_LY"/>
      <sheetName val="Panera_IS_LY"/>
      <sheetName val="DineEquity_BS_LQ"/>
      <sheetName val="DineEquity_IS_LY"/>
      <sheetName val="DineEquity_IS_LQ"/>
      <sheetName val="DineEquity_LTM"/>
      <sheetName val="RedRobin_BS_LY"/>
      <sheetName val="RedRobin_IS_LY"/>
    </sheetNames>
    <sheetDataSet>
      <sheetData sheetId="0"/>
      <sheetData sheetId="1"/>
      <sheetData sheetId="2"/>
      <sheetData sheetId="3"/>
      <sheetData sheetId="4">
        <row r="3">
          <cell r="B3">
            <v>37.268999999999998</v>
          </cell>
        </row>
      </sheetData>
      <sheetData sheetId="5">
        <row r="6">
          <cell r="E6">
            <v>68.782999999999973</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persons/person.xml><?xml version="1.0" encoding="utf-8"?>
<personList xmlns="http://schemas.microsoft.com/office/spreadsheetml/2018/threadedcomments" xmlns:x="http://schemas.openxmlformats.org/spreadsheetml/2006/main">
  <person displayName="Guest User" id="{721C2153-785D-4E4B-9192-A54B9A5BA296}" userId="" providerId="Windows Live"/>
  <person displayName="Brett" id="{755A1F14-C14F-48FB-A64D-051DE391D4A6}" userId="Brett"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I42" personId="{755A1F14-C14F-48FB-A64D-051DE391D4A6}" id="{61C276C8-9D26-45BF-9115-23FFB8FCB455}">
    <text/>
  </threadedComment>
  <threadedComment ref="I42" dT="2020-04-03T17:56:01.43" personId="{721C2153-785D-4E4B-9192-A54B9A5BA296}" id="{22A5A987-4A71-45B5-A268-ECE2B37C0A2E}" parentId="{61C276C8-9D26-45BF-9115-23FFB8FCB455}">
    <text xml:space="preserve">Mature growth keeping up with inflation and GDP growth
</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7.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8.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0.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1.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C9"/>
  <sheetViews>
    <sheetView workbookViewId="0">
      <selection activeCell="C12" sqref="C12"/>
    </sheetView>
  </sheetViews>
  <sheetFormatPr baseColWidth="10" defaultColWidth="9.1640625" defaultRowHeight="13" x14ac:dyDescent="0.15"/>
  <cols>
    <col min="1" max="1" width="3.1640625" style="169" customWidth="1"/>
    <col min="2" max="2" width="19.1640625" style="169" bestFit="1" customWidth="1"/>
    <col min="3" max="3" width="30.33203125" style="169" customWidth="1"/>
    <col min="4" max="16384" width="9.1640625" style="169"/>
  </cols>
  <sheetData>
    <row r="2" spans="2:3" x14ac:dyDescent="0.15">
      <c r="B2" s="167" t="s">
        <v>470</v>
      </c>
      <c r="C2" s="168" t="s">
        <v>530</v>
      </c>
    </row>
    <row r="3" spans="2:3" x14ac:dyDescent="0.15">
      <c r="B3" s="170" t="s">
        <v>471</v>
      </c>
      <c r="C3" s="171" t="s">
        <v>531</v>
      </c>
    </row>
    <row r="4" spans="2:3" x14ac:dyDescent="0.15">
      <c r="B4" s="172"/>
    </row>
    <row r="5" spans="2:3" x14ac:dyDescent="0.15">
      <c r="B5" s="173" t="s">
        <v>472</v>
      </c>
      <c r="C5" s="173" t="s">
        <v>473</v>
      </c>
    </row>
    <row r="6" spans="2:3" ht="210" x14ac:dyDescent="0.15">
      <c r="B6" s="174" t="s">
        <v>474</v>
      </c>
      <c r="C6" s="175" t="s">
        <v>529</v>
      </c>
    </row>
    <row r="7" spans="2:3" x14ac:dyDescent="0.15">
      <c r="B7" s="169" t="s">
        <v>532</v>
      </c>
      <c r="C7" s="169" t="s">
        <v>533</v>
      </c>
    </row>
    <row r="8" spans="2:3" ht="42" x14ac:dyDescent="0.15">
      <c r="B8" s="169" t="s">
        <v>475</v>
      </c>
      <c r="C8" s="175" t="s">
        <v>534</v>
      </c>
    </row>
    <row r="9" spans="2:3" x14ac:dyDescent="0.15">
      <c r="B9" s="169" t="s">
        <v>545</v>
      </c>
      <c r="C9" s="169" t="s">
        <v>546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D10"/>
  <sheetViews>
    <sheetView zoomScaleNormal="100" workbookViewId="0">
      <pane xSplit="2" ySplit="2" topLeftCell="C6" activePane="bottomRight" state="frozen"/>
      <selection pane="topRight" activeCell="C1" sqref="C1"/>
      <selection pane="bottomLeft" activeCell="A3" sqref="A3"/>
      <selection pane="bottomRight" activeCell="B9" sqref="B9"/>
    </sheetView>
  </sheetViews>
  <sheetFormatPr baseColWidth="10" defaultColWidth="9.1640625" defaultRowHeight="13" x14ac:dyDescent="0.15"/>
  <cols>
    <col min="1" max="1" width="3.83203125" style="169" customWidth="1"/>
    <col min="2" max="2" width="23.5" style="169" bestFit="1" customWidth="1"/>
    <col min="3" max="3" width="41.5" style="169" bestFit="1" customWidth="1"/>
    <col min="4" max="4" width="52.83203125" style="176" customWidth="1"/>
    <col min="5" max="16384" width="9.1640625" style="169"/>
  </cols>
  <sheetData>
    <row r="2" spans="2:4" x14ac:dyDescent="0.15">
      <c r="B2" s="169" t="s">
        <v>478</v>
      </c>
      <c r="C2" s="169" t="s">
        <v>472</v>
      </c>
      <c r="D2" s="176" t="s">
        <v>479</v>
      </c>
    </row>
    <row r="3" spans="2:4" ht="110.25" customHeight="1" x14ac:dyDescent="0.2">
      <c r="B3" s="169" t="s">
        <v>121</v>
      </c>
      <c r="C3" s="169" t="s">
        <v>535</v>
      </c>
      <c r="D3" s="221" t="s">
        <v>536</v>
      </c>
    </row>
    <row r="4" spans="2:4" ht="156.5" customHeight="1" x14ac:dyDescent="0.2">
      <c r="B4" s="169" t="s">
        <v>125</v>
      </c>
      <c r="C4" s="169" t="s">
        <v>474</v>
      </c>
      <c r="D4" s="221" t="s">
        <v>537</v>
      </c>
    </row>
    <row r="5" spans="2:4" ht="105.5" customHeight="1" x14ac:dyDescent="0.2">
      <c r="B5" s="169" t="s">
        <v>123</v>
      </c>
      <c r="C5" s="169" t="s">
        <v>477</v>
      </c>
      <c r="D5" s="221" t="s">
        <v>538</v>
      </c>
    </row>
    <row r="6" spans="2:4" ht="104.25" customHeight="1" x14ac:dyDescent="0.2">
      <c r="B6" s="169" t="s">
        <v>127</v>
      </c>
      <c r="C6" s="169" t="s">
        <v>476</v>
      </c>
      <c r="D6" s="221" t="s">
        <v>541</v>
      </c>
    </row>
    <row r="7" spans="2:4" x14ac:dyDescent="0.15">
      <c r="D7" s="177"/>
    </row>
    <row r="8" spans="2:4" ht="75" customHeight="1" x14ac:dyDescent="0.15">
      <c r="D8" s="177"/>
    </row>
    <row r="10" spans="2:4" ht="75" customHeight="1" x14ac:dyDescent="0.15">
      <c r="B10" s="172"/>
      <c r="D10" s="177"/>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H28"/>
  <sheetViews>
    <sheetView showGridLines="0" zoomScale="110" zoomScaleNormal="110" workbookViewId="0">
      <selection activeCell="D24" sqref="D24"/>
    </sheetView>
  </sheetViews>
  <sheetFormatPr baseColWidth="10" defaultColWidth="8.83203125" defaultRowHeight="14" x14ac:dyDescent="0.15"/>
  <cols>
    <col min="1" max="1" width="2.83203125" style="259" customWidth="1"/>
    <col min="2" max="2" width="19.83203125" style="255" bestFit="1" customWidth="1"/>
    <col min="3" max="6" width="8.83203125" style="255"/>
    <col min="7" max="7" width="8.5" style="255" customWidth="1"/>
    <col min="8" max="8" width="17.6640625" style="255" bestFit="1" customWidth="1"/>
    <col min="9" max="16384" width="8.83203125" style="255"/>
  </cols>
  <sheetData>
    <row r="2" spans="1:8" x14ac:dyDescent="0.15">
      <c r="B2" s="24" t="s">
        <v>569</v>
      </c>
    </row>
    <row r="3" spans="1:8" ht="11.25" customHeight="1" x14ac:dyDescent="0.15">
      <c r="A3" s="257"/>
      <c r="B3" s="254"/>
      <c r="C3" s="254"/>
      <c r="D3" s="254"/>
      <c r="E3" s="254"/>
      <c r="F3" s="254"/>
      <c r="G3" s="254"/>
      <c r="H3" s="254"/>
    </row>
    <row r="4" spans="1:8" ht="19.5" customHeight="1" x14ac:dyDescent="0.15">
      <c r="A4" s="257"/>
      <c r="B4" s="286"/>
      <c r="C4" s="274">
        <v>2015</v>
      </c>
      <c r="D4" s="275">
        <f>C4+1</f>
        <v>2016</v>
      </c>
      <c r="E4" s="275">
        <f t="shared" ref="E4:G4" si="0">D4+1</f>
        <v>2017</v>
      </c>
      <c r="F4" s="275">
        <f t="shared" si="0"/>
        <v>2018</v>
      </c>
      <c r="G4" s="275">
        <f t="shared" si="0"/>
        <v>2019</v>
      </c>
      <c r="H4" s="276" t="s">
        <v>0</v>
      </c>
    </row>
    <row r="5" spans="1:8" x14ac:dyDescent="0.15">
      <c r="A5" s="258" t="s">
        <v>1</v>
      </c>
      <c r="B5" s="279"/>
      <c r="C5" s="26"/>
      <c r="D5" s="26"/>
      <c r="E5" s="26"/>
      <c r="F5" s="26"/>
      <c r="G5" s="26"/>
      <c r="H5" s="264"/>
    </row>
    <row r="6" spans="1:8" x14ac:dyDescent="0.15">
      <c r="A6" s="257"/>
      <c r="B6" s="278" t="s">
        <v>2</v>
      </c>
      <c r="C6" s="260">
        <f>'Balance Sheet'!B27/'Balance Sheet'!B51</f>
        <v>0.50265819352188834</v>
      </c>
      <c r="D6" s="261">
        <f>'Balance Sheet'!C27/'Balance Sheet'!C51</f>
        <v>0.56310421174572778</v>
      </c>
      <c r="E6" s="261">
        <f>'Balance Sheet'!D27/'Balance Sheet'!D51</f>
        <v>0.70311041556400877</v>
      </c>
      <c r="F6" s="261">
        <f>'Balance Sheet'!E27/'Balance Sheet'!E51</f>
        <v>0.64478908188585604</v>
      </c>
      <c r="G6" s="261">
        <f>'Balance Sheet'!F27/'Balance Sheet'!F51</f>
        <v>0.72195258540227736</v>
      </c>
      <c r="H6" s="277">
        <f>'Comparisons 2018'!B43</f>
        <v>0.84</v>
      </c>
    </row>
    <row r="7" spans="1:8" x14ac:dyDescent="0.15">
      <c r="A7" s="257"/>
      <c r="B7" s="278"/>
      <c r="C7" s="262"/>
      <c r="D7" s="263"/>
      <c r="E7" s="263"/>
      <c r="F7" s="263"/>
      <c r="G7" s="263"/>
      <c r="H7" s="278"/>
    </row>
    <row r="8" spans="1:8" x14ac:dyDescent="0.15">
      <c r="A8" s="258" t="s">
        <v>3</v>
      </c>
      <c r="B8" s="279"/>
      <c r="C8" s="264"/>
      <c r="D8" s="160"/>
      <c r="E8" s="160"/>
      <c r="F8" s="160"/>
      <c r="G8" s="160"/>
      <c r="H8" s="279"/>
    </row>
    <row r="9" spans="1:8" x14ac:dyDescent="0.15">
      <c r="A9" s="257"/>
      <c r="B9" s="278" t="s">
        <v>566</v>
      </c>
      <c r="C9" s="265" t="s">
        <v>4</v>
      </c>
      <c r="D9" s="266">
        <v>0</v>
      </c>
      <c r="E9" s="266">
        <v>0</v>
      </c>
      <c r="F9" s="266">
        <v>0</v>
      </c>
      <c r="G9" s="266">
        <v>0</v>
      </c>
      <c r="H9" s="280">
        <f>365/'Comparisons 2018'!C43</f>
        <v>6.0131795716639207</v>
      </c>
    </row>
    <row r="10" spans="1:8" x14ac:dyDescent="0.15">
      <c r="A10" s="257"/>
      <c r="B10" s="278" t="s">
        <v>12</v>
      </c>
      <c r="C10" s="267" t="s">
        <v>4</v>
      </c>
      <c r="D10" s="268">
        <f>'Income Statement'!C16/AVERAGE('Balance Sheet'!B43:C43)</f>
        <v>0.56094521216118554</v>
      </c>
      <c r="E10" s="268">
        <f>'Income Statement'!D16/AVERAGE('Balance Sheet'!C43:D43)</f>
        <v>0.58669658282432535</v>
      </c>
      <c r="F10" s="268">
        <f>'Income Statement'!E16/AVERAGE('Balance Sheet'!D43:E43)</f>
        <v>0.61414070043887836</v>
      </c>
      <c r="G10" s="268">
        <f>'Income Statement'!F16/AVERAGE('Balance Sheet'!E43:F43)</f>
        <v>0.61177723136201168</v>
      </c>
      <c r="H10" s="281">
        <f>365/'Comparisons 2018'!C43</f>
        <v>6.0131795716639207</v>
      </c>
    </row>
    <row r="11" spans="1:8" x14ac:dyDescent="0.15">
      <c r="A11" s="257"/>
      <c r="B11" s="278" t="s">
        <v>565</v>
      </c>
      <c r="C11" s="267" t="s">
        <v>4</v>
      </c>
      <c r="D11" s="268">
        <f>'Income Statement'!C16/AVERAGE('Balance Sheet'!B34:C44)</f>
        <v>2.619471011339225</v>
      </c>
      <c r="E11" s="268">
        <f>'Income Statement'!D16/AVERAGE('Balance Sheet'!C34:D44)</f>
        <v>2.7494507606797352</v>
      </c>
      <c r="F11" s="268">
        <f>'Income Statement'!E16/AVERAGE('Balance Sheet'!D34:E44)</f>
        <v>2.8569864449446967</v>
      </c>
      <c r="G11" s="268">
        <f>'Income Statement'!F16/AVERAGE('Balance Sheet'!E34:F44)</f>
        <v>3.0013502149684355</v>
      </c>
      <c r="H11" s="284" t="s">
        <v>6</v>
      </c>
    </row>
    <row r="12" spans="1:8" x14ac:dyDescent="0.15">
      <c r="A12" s="257"/>
      <c r="B12" s="278"/>
      <c r="C12" s="262"/>
      <c r="D12" s="263"/>
      <c r="E12" s="263"/>
      <c r="F12" s="263"/>
      <c r="G12" s="263"/>
      <c r="H12" s="278"/>
    </row>
    <row r="13" spans="1:8" x14ac:dyDescent="0.15">
      <c r="A13" s="258" t="s">
        <v>5</v>
      </c>
      <c r="B13" s="279"/>
      <c r="C13" s="264"/>
      <c r="D13" s="160"/>
      <c r="E13" s="160"/>
      <c r="F13" s="160"/>
      <c r="G13" s="160"/>
      <c r="H13" s="279"/>
    </row>
    <row r="14" spans="1:8" x14ac:dyDescent="0.15">
      <c r="A14" s="257"/>
      <c r="B14" s="278" t="s">
        <v>567</v>
      </c>
      <c r="C14" s="267">
        <f>('Balance Sheet'!B43-'Balance Sheet'!B70)/'Balance Sheet'!B43</f>
        <v>0.99578342410240783</v>
      </c>
      <c r="D14" s="268">
        <f>('Balance Sheet'!C43-'Balance Sheet'!C70)/'Balance Sheet'!C43</f>
        <v>0.90107447634758919</v>
      </c>
      <c r="E14" s="268">
        <f>('Balance Sheet'!D43-'Balance Sheet'!D70)/'Balance Sheet'!D43</f>
        <v>0.91324987734685537</v>
      </c>
      <c r="F14" s="268">
        <f>('Balance Sheet'!E43-'Balance Sheet'!E70)/'Balance Sheet'!E43</f>
        <v>0.9142128320301669</v>
      </c>
      <c r="G14" s="268">
        <f>('Balance Sheet'!F43-'Balance Sheet'!F70)/'Balance Sheet'!F43</f>
        <v>0.92673701905117667</v>
      </c>
      <c r="H14" s="284" t="s">
        <v>6</v>
      </c>
    </row>
    <row r="15" spans="1:8" x14ac:dyDescent="0.15">
      <c r="A15" s="257"/>
      <c r="B15" s="278" t="s">
        <v>568</v>
      </c>
      <c r="C15" s="267">
        <f>'Income Statement'!B26/'Income Statement'!B28</f>
        <v>3.277197987241967</v>
      </c>
      <c r="D15" s="268">
        <f>'Income Statement'!C26/'Income Statement'!C28</f>
        <v>2.6665165061103795</v>
      </c>
      <c r="E15" s="268">
        <f>'Income Statement'!D26/'Income Statement'!D28</f>
        <v>3.4402681165800826</v>
      </c>
      <c r="F15" s="268">
        <f>'Income Statement'!E26/'Income Statement'!E28</f>
        <v>3.7578947368421054</v>
      </c>
      <c r="G15" s="268">
        <f>'Income Statement'!F26/'Income Statement'!F28</f>
        <v>5.2196531791907512</v>
      </c>
      <c r="H15" s="284" t="s">
        <v>6</v>
      </c>
    </row>
    <row r="16" spans="1:8" x14ac:dyDescent="0.15">
      <c r="A16" s="257"/>
      <c r="B16" s="278"/>
      <c r="C16" s="262"/>
      <c r="D16" s="263"/>
      <c r="E16" s="263"/>
      <c r="F16" s="263"/>
      <c r="G16" s="263"/>
      <c r="H16" s="278"/>
    </row>
    <row r="17" spans="1:8" x14ac:dyDescent="0.15">
      <c r="A17" s="258" t="s">
        <v>7</v>
      </c>
      <c r="B17" s="279"/>
      <c r="C17" s="264"/>
      <c r="D17" s="160"/>
      <c r="E17" s="160"/>
      <c r="F17" s="160"/>
      <c r="G17" s="160"/>
      <c r="H17" s="279"/>
    </row>
    <row r="18" spans="1:8" x14ac:dyDescent="0.15">
      <c r="A18" s="257"/>
      <c r="B18" s="278" t="s">
        <v>8</v>
      </c>
      <c r="C18" s="269" t="s">
        <v>4</v>
      </c>
      <c r="D18" s="270">
        <f>'Income Statement'!C53/AVERAGE('Balance Sheet'!B43:C43)</f>
        <v>1.8020189532692282E-2</v>
      </c>
      <c r="E18" s="270">
        <f>'Income Statement'!D53/AVERAGE('Balance Sheet'!C43:D43)</f>
        <v>2.2043103971653367E-2</v>
      </c>
      <c r="F18" s="270">
        <f>'Income Statement'!E53/AVERAGE('Balance Sheet'!D43:E43)</f>
        <v>2.2216976243266916E-2</v>
      </c>
      <c r="G18" s="270">
        <f>'Income Statement'!F53/AVERAGE('Balance Sheet'!E43:F43)</f>
        <v>2.8644579076782681E-2</v>
      </c>
      <c r="H18" s="282">
        <f>'Comparisons 2018'!F43/100</f>
        <v>4.4400000000000002E-2</v>
      </c>
    </row>
    <row r="19" spans="1:8" x14ac:dyDescent="0.15">
      <c r="A19" s="257"/>
      <c r="B19" s="278" t="s">
        <v>9</v>
      </c>
      <c r="C19" s="269" t="s">
        <v>4</v>
      </c>
      <c r="D19" s="271">
        <f>'Income Statement'!C53/AVERAGE('Balance Sheet'!B71:C71)</f>
        <v>5.3064379023747818E-2</v>
      </c>
      <c r="E19" s="271">
        <f>'Income Statement'!D53/AVERAGE('Balance Sheet'!C71:D71)</f>
        <v>6.3944259656693203E-2</v>
      </c>
      <c r="F19" s="271">
        <f>'Income Statement'!E53/AVERAGE('Balance Sheet'!D71:E71)</f>
        <v>6.8932918422814821E-2</v>
      </c>
      <c r="G19" s="271">
        <f>'Income Statement'!F53/AVERAGE('Balance Sheet'!E71:F71)</f>
        <v>0.10101010101010101</v>
      </c>
      <c r="H19" s="282">
        <f>'Comparisons 2018'!G43/100</f>
        <v>0.16600000000000001</v>
      </c>
    </row>
    <row r="20" spans="1:8" x14ac:dyDescent="0.15">
      <c r="A20" s="257"/>
      <c r="B20" s="278"/>
      <c r="C20" s="262"/>
      <c r="D20" s="263"/>
      <c r="E20" s="263"/>
      <c r="F20" s="263"/>
      <c r="G20" s="263"/>
      <c r="H20" s="278"/>
    </row>
    <row r="21" spans="1:8" x14ac:dyDescent="0.15">
      <c r="A21" s="258" t="s">
        <v>10</v>
      </c>
      <c r="B21" s="279"/>
      <c r="C21" s="264"/>
      <c r="D21" s="160"/>
      <c r="E21" s="160"/>
      <c r="F21" s="160"/>
      <c r="G21" s="160"/>
      <c r="H21" s="279"/>
    </row>
    <row r="22" spans="1:8" x14ac:dyDescent="0.15">
      <c r="A22" s="257"/>
      <c r="B22" s="278" t="s">
        <v>11</v>
      </c>
      <c r="C22" s="269">
        <f>'Income Statement'!B53/'Income Statement'!B16</f>
        <v>0.11457264395561542</v>
      </c>
      <c r="D22" s="270">
        <f>'Income Statement'!C53/'Income Statement'!C16</f>
        <v>3.2124687299254898E-2</v>
      </c>
      <c r="E22" s="270">
        <f>'Income Statement'!D53/'Income Statement'!D16</f>
        <v>3.7571556775631912E-2</v>
      </c>
      <c r="F22" s="270">
        <f>'Income Statement'!E53/'Income Statement'!E16</f>
        <v>3.6175710594315243E-2</v>
      </c>
      <c r="G22" s="270">
        <f>'Income Statement'!F53/'Income Statement'!F16</f>
        <v>4.6821910996933787E-2</v>
      </c>
      <c r="H22" s="290">
        <f>'Comparisons 2018'!H43/100</f>
        <v>7.400000000000001E-2</v>
      </c>
    </row>
    <row r="23" spans="1:8" x14ac:dyDescent="0.15">
      <c r="A23" s="257"/>
      <c r="B23" s="278" t="s">
        <v>12</v>
      </c>
      <c r="C23" s="272" t="str">
        <f t="shared" ref="C23" si="1">C10</f>
        <v>N/A</v>
      </c>
      <c r="D23" s="268">
        <f>D10</f>
        <v>0.56094521216118554</v>
      </c>
      <c r="E23" s="268">
        <f>E10</f>
        <v>0.58669658282432535</v>
      </c>
      <c r="F23" s="268">
        <f>F10</f>
        <v>0.61414070043887836</v>
      </c>
      <c r="G23" s="268">
        <f>G10</f>
        <v>0.61177723136201168</v>
      </c>
      <c r="H23" s="281">
        <f>'Comparisons 2018'!D43</f>
        <v>0.72</v>
      </c>
    </row>
    <row r="24" spans="1:8" x14ac:dyDescent="0.15">
      <c r="A24" s="257"/>
      <c r="B24" s="278" t="s">
        <v>13</v>
      </c>
      <c r="C24" s="272" t="s">
        <v>4</v>
      </c>
      <c r="D24" s="268">
        <f>AVERAGE('Balance Sheet'!B43:C43)/AVERAGE('Balance Sheet'!B71:C71)</f>
        <v>2.9447181411426477</v>
      </c>
      <c r="E24" s="268">
        <f>AVERAGE('Balance Sheet'!C43:D43)/AVERAGE('Balance Sheet'!C71:D71)</f>
        <v>2.9008736582163386</v>
      </c>
      <c r="F24" s="268">
        <f>AVERAGE('Balance Sheet'!D43:E43)/AVERAGE('Balance Sheet'!D71:E71)</f>
        <v>3.1027137837312879</v>
      </c>
      <c r="G24" s="268">
        <f>AVERAGE('Balance Sheet'!E43:F43)/AVERAGE('Balance Sheet'!E71:F71)</f>
        <v>3.5263251988915707</v>
      </c>
      <c r="H24" s="285" t="s">
        <v>6</v>
      </c>
    </row>
    <row r="25" spans="1:8" x14ac:dyDescent="0.15">
      <c r="A25" s="257"/>
      <c r="B25" s="287"/>
      <c r="C25" s="273"/>
      <c r="D25" s="288">
        <f>PRODUCT(D22:D24)</f>
        <v>5.3064379023747811E-2</v>
      </c>
      <c r="E25" s="288">
        <f t="shared" ref="E25:G25" si="2">PRODUCT(E22:E24)</f>
        <v>6.3944259656693217E-2</v>
      </c>
      <c r="F25" s="288">
        <f t="shared" si="2"/>
        <v>6.8932918422814835E-2</v>
      </c>
      <c r="G25" s="289">
        <f t="shared" si="2"/>
        <v>0.10101010101010101</v>
      </c>
      <c r="H25" s="283"/>
    </row>
    <row r="26" spans="1:8" x14ac:dyDescent="0.15">
      <c r="A26" s="257"/>
      <c r="C26" s="256"/>
      <c r="D26" s="256"/>
      <c r="E26" s="256"/>
      <c r="F26" s="256"/>
      <c r="G26" s="256"/>
    </row>
    <row r="27" spans="1:8" x14ac:dyDescent="0.15">
      <c r="A27" s="257"/>
      <c r="C27" s="256"/>
      <c r="D27" s="256"/>
      <c r="E27" s="256"/>
      <c r="F27" s="256"/>
      <c r="G27" s="256"/>
    </row>
    <row r="28" spans="1:8" x14ac:dyDescent="0.15">
      <c r="A28" s="257"/>
    </row>
  </sheetData>
  <pageMargins left="0.7" right="0.7" top="0.75" bottom="0.75" header="0.3" footer="0.3"/>
  <pageSetup orientation="portrait" r:id="rId1"/>
  <ignoredErrors>
    <ignoredError sqref="D18:G18 D10:G10 D19:G19 D24:G24" formulaRange="1"/>
  </ignoredError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23"/>
  <sheetViews>
    <sheetView showGridLines="0" zoomScale="136" zoomScaleNormal="100" workbookViewId="0">
      <selection activeCell="C28" sqref="C28"/>
    </sheetView>
  </sheetViews>
  <sheetFormatPr baseColWidth="10" defaultColWidth="9.1640625" defaultRowHeight="14" x14ac:dyDescent="0.15"/>
  <cols>
    <col min="1" max="1" width="3.1640625" style="232" customWidth="1"/>
    <col min="2" max="2" width="39" style="232" bestFit="1" customWidth="1"/>
    <col min="3" max="3" width="15.83203125" style="232" customWidth="1"/>
    <col min="4" max="4" width="9.83203125" style="232" customWidth="1"/>
    <col min="5" max="5" width="12.5" style="232" customWidth="1"/>
    <col min="6" max="7" width="9.1640625" style="232"/>
    <col min="8" max="8" width="9.83203125" style="232" bestFit="1" customWidth="1"/>
    <col min="9" max="16384" width="9.1640625" style="232"/>
  </cols>
  <sheetData>
    <row r="1" spans="1:13" x14ac:dyDescent="0.15">
      <c r="A1" s="231" t="s">
        <v>549</v>
      </c>
    </row>
    <row r="3" spans="1:13" x14ac:dyDescent="0.15">
      <c r="B3" s="232" t="s">
        <v>550</v>
      </c>
      <c r="C3" s="240">
        <v>43946</v>
      </c>
      <c r="D3" s="233"/>
      <c r="E3" s="233"/>
    </row>
    <row r="4" spans="1:13" x14ac:dyDescent="0.15">
      <c r="B4" s="232" t="s">
        <v>85</v>
      </c>
      <c r="C4" s="234">
        <v>66.569999999999993</v>
      </c>
      <c r="D4" s="241"/>
      <c r="E4" s="234"/>
    </row>
    <row r="5" spans="1:13" x14ac:dyDescent="0.15">
      <c r="D5" s="235"/>
    </row>
    <row r="7" spans="1:13" x14ac:dyDescent="0.15">
      <c r="B7" s="231" t="s">
        <v>551</v>
      </c>
      <c r="J7" s="236" t="s">
        <v>552</v>
      </c>
      <c r="K7" s="237"/>
    </row>
    <row r="8" spans="1:13" x14ac:dyDescent="0.15">
      <c r="B8" s="231" t="s">
        <v>553</v>
      </c>
      <c r="C8" s="231"/>
      <c r="D8" s="231"/>
      <c r="E8" s="231"/>
      <c r="F8" s="238" t="s">
        <v>508</v>
      </c>
      <c r="G8" s="238" t="s">
        <v>554</v>
      </c>
      <c r="H8" s="238" t="s">
        <v>505</v>
      </c>
      <c r="J8" s="231" t="s">
        <v>508</v>
      </c>
      <c r="K8" s="231" t="s">
        <v>505</v>
      </c>
      <c r="M8" s="231" t="s">
        <v>85</v>
      </c>
    </row>
    <row r="9" spans="1:13" x14ac:dyDescent="0.15">
      <c r="B9" s="232" t="s">
        <v>555</v>
      </c>
      <c r="C9" s="232" t="str">
        <f>"Public compy EV/Sales range: "&amp;TEXT(J9,"0.0x")&amp;"-"&amp;TEXT(K9,"0.0x")</f>
        <v>Public compy EV/Sales range: 2.2x-2.6x</v>
      </c>
      <c r="F9" s="242">
        <f>EXPE_Comps!C21</f>
        <v>163.77007562320409</v>
      </c>
      <c r="G9" s="239">
        <f>H9-F9</f>
        <v>33.491738171460582</v>
      </c>
      <c r="H9" s="242">
        <f>EXPE_Comps!C22</f>
        <v>197.26181379466468</v>
      </c>
      <c r="J9" s="249">
        <f>EXPE_Comps!G21</f>
        <v>2.2000000000000002</v>
      </c>
      <c r="K9" s="249">
        <f>EXPE_Comps!G22</f>
        <v>2.6</v>
      </c>
      <c r="M9" s="235">
        <f>$C$4</f>
        <v>66.569999999999993</v>
      </c>
    </row>
    <row r="10" spans="1:13" x14ac:dyDescent="0.15">
      <c r="B10" s="232" t="s">
        <v>556</v>
      </c>
      <c r="C10" s="232" t="str">
        <f>"Public compy EV/EBITDA range: "&amp;TEXT(J10,"0.0x")&amp;"-"&amp;TEXT(K10,"0.0x")</f>
        <v>Public compy EV/EBITDA range: 8.8x-10.8x</v>
      </c>
      <c r="F10" s="242">
        <f>EXPE_Comps!C25</f>
        <v>104.89130638954343</v>
      </c>
      <c r="G10" s="239">
        <f t="shared" ref="G10:G12" si="0">H10-F10</f>
        <v>28.884605923779006</v>
      </c>
      <c r="H10" s="242">
        <f>EXPE_Comps!C26</f>
        <v>133.77591231332244</v>
      </c>
      <c r="J10" s="249">
        <f>EXPE_Comps!I25</f>
        <v>8.7934972234507836</v>
      </c>
      <c r="K10" s="249">
        <f>EXPE_Comps!I26</f>
        <v>10.820188621554408</v>
      </c>
      <c r="M10" s="235">
        <f t="shared" ref="M10:M13" si="1">$C$4</f>
        <v>66.569999999999993</v>
      </c>
    </row>
    <row r="11" spans="1:13" x14ac:dyDescent="0.15">
      <c r="B11" s="232" t="s">
        <v>557</v>
      </c>
      <c r="C11" s="232" t="str">
        <f>"DCF w/ perpetuity growth range: "&amp;TEXT(J11,"0.0%")&amp;"-"&amp;TEXT(K11,"0.0%")</f>
        <v>DCF w/ perpetuity growth range: 1.5%-4.5%</v>
      </c>
      <c r="F11" s="242">
        <f>DCF!H168</f>
        <v>285.05308213307256</v>
      </c>
      <c r="G11" s="239">
        <f t="shared" si="0"/>
        <v>158.67872848456886</v>
      </c>
      <c r="H11" s="242">
        <f>DCF!H174</f>
        <v>443.73181061764143</v>
      </c>
      <c r="J11" s="250">
        <f>DCF!C168</f>
        <v>1.4999999999999999E-2</v>
      </c>
      <c r="K11" s="250">
        <f>DCF!C174</f>
        <v>4.4999999999999998E-2</v>
      </c>
      <c r="M11" s="235">
        <f t="shared" si="1"/>
        <v>66.569999999999993</v>
      </c>
    </row>
    <row r="12" spans="1:13" x14ac:dyDescent="0.15">
      <c r="B12" s="232" t="s">
        <v>558</v>
      </c>
      <c r="C12" s="232" t="str">
        <f>"DCF w/ EBITDA exit multiple range: "&amp;TEXT(J12,"0.0x")&amp;"-"&amp;TEXT(K12,"0.0x")</f>
        <v>DCF w/ EBITDA exit multiple range: 15.3x-30.3x</v>
      </c>
      <c r="F12" s="242">
        <f>DCF!D159</f>
        <v>261.08637373125765</v>
      </c>
      <c r="G12" s="239">
        <f t="shared" si="0"/>
        <v>215.81579849401436</v>
      </c>
      <c r="H12" s="242">
        <f>DCF!N159</f>
        <v>476.90217222527201</v>
      </c>
      <c r="J12" s="249">
        <f>DCF!D158</f>
        <v>15.32</v>
      </c>
      <c r="K12" s="249">
        <f>DCF!N158</f>
        <v>30.32</v>
      </c>
      <c r="M12" s="235">
        <f t="shared" si="1"/>
        <v>66.569999999999993</v>
      </c>
    </row>
    <row r="13" spans="1:13" x14ac:dyDescent="0.15">
      <c r="B13" s="232" t="s">
        <v>559</v>
      </c>
      <c r="C13" s="232" t="s">
        <v>559</v>
      </c>
      <c r="F13" s="234">
        <v>40.76</v>
      </c>
      <c r="G13" s="239">
        <f>H13-F13</f>
        <v>103.24000000000001</v>
      </c>
      <c r="H13" s="234">
        <v>144</v>
      </c>
      <c r="M13" s="235">
        <f t="shared" si="1"/>
        <v>66.569999999999993</v>
      </c>
    </row>
    <row r="15" spans="1:13" x14ac:dyDescent="0.15">
      <c r="M15" s="245"/>
    </row>
    <row r="22" spans="18:18" x14ac:dyDescent="0.15">
      <c r="R22" s="235"/>
    </row>
    <row r="23" spans="18:18" x14ac:dyDescent="0.15">
      <c r="R23" s="235"/>
    </row>
  </sheetData>
  <pageMargins left="0.7" right="0.7" top="0.75" bottom="0.75" header="0.3" footer="0.3"/>
  <drawing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Q33"/>
  <sheetViews>
    <sheetView showGridLines="0" zoomScaleNormal="110" workbookViewId="0"/>
  </sheetViews>
  <sheetFormatPr baseColWidth="10" defaultColWidth="9.1640625" defaultRowHeight="15" outlineLevelCol="1" x14ac:dyDescent="0.2"/>
  <cols>
    <col min="1" max="1" width="33.83203125" style="180" customWidth="1"/>
    <col min="2" max="2" width="11.83203125" style="180" customWidth="1"/>
    <col min="3" max="3" width="11.5" style="180" bestFit="1" customWidth="1"/>
    <col min="4" max="4" width="14.83203125" style="180" bestFit="1" customWidth="1"/>
    <col min="5" max="5" width="18" style="180" bestFit="1" customWidth="1"/>
    <col min="6" max="6" width="15.1640625" style="180" bestFit="1" customWidth="1"/>
    <col min="7" max="8" width="11.5" style="180" customWidth="1"/>
    <col min="9" max="9" width="13.5" style="180" customWidth="1"/>
    <col min="10" max="10" width="9.1640625" style="180" customWidth="1" outlineLevel="1"/>
    <col min="11" max="11" width="13.1640625" style="180" customWidth="1" outlineLevel="1"/>
    <col min="12" max="12" width="12.5" style="180" customWidth="1" outlineLevel="1"/>
    <col min="13" max="14" width="9.1640625" style="180"/>
    <col min="15" max="15" width="14" style="180" bestFit="1" customWidth="1"/>
    <col min="16" max="16" width="12.5" style="180" bestFit="1" customWidth="1"/>
    <col min="17" max="16384" width="9.1640625" style="180"/>
  </cols>
  <sheetData>
    <row r="1" spans="1:16" ht="25" x14ac:dyDescent="0.25">
      <c r="A1" s="178" t="s">
        <v>480</v>
      </c>
      <c r="B1" s="178"/>
      <c r="C1" s="179"/>
      <c r="D1" s="179"/>
      <c r="E1" s="179"/>
      <c r="F1" s="179"/>
      <c r="G1" s="179"/>
      <c r="H1" s="179"/>
      <c r="I1" s="179"/>
      <c r="J1" s="179"/>
      <c r="K1" s="179"/>
    </row>
    <row r="2" spans="1:16" x14ac:dyDescent="0.2">
      <c r="A2" s="181" t="s">
        <v>481</v>
      </c>
      <c r="B2" s="181"/>
      <c r="C2" s="179"/>
      <c r="D2" s="179"/>
      <c r="E2" s="179"/>
      <c r="F2" s="179"/>
      <c r="G2" s="179"/>
      <c r="H2" s="179"/>
      <c r="I2" s="179"/>
      <c r="J2" s="179"/>
      <c r="K2" s="179"/>
    </row>
    <row r="3" spans="1:16" x14ac:dyDescent="0.2">
      <c r="A3" s="179" t="s">
        <v>482</v>
      </c>
      <c r="B3" s="179"/>
      <c r="C3" s="182"/>
      <c r="D3" s="182"/>
      <c r="E3" s="182"/>
      <c r="F3" s="182"/>
      <c r="G3" s="182"/>
      <c r="H3" s="182"/>
      <c r="I3" s="182"/>
      <c r="J3" s="182"/>
      <c r="K3" s="182"/>
    </row>
    <row r="4" spans="1:16" ht="16" x14ac:dyDescent="0.2">
      <c r="A4" s="179"/>
      <c r="B4" s="179"/>
      <c r="C4" s="182"/>
      <c r="D4" s="182"/>
      <c r="E4" s="182"/>
      <c r="F4" s="182"/>
      <c r="G4" s="183" t="s">
        <v>483</v>
      </c>
      <c r="H4" s="183"/>
      <c r="I4" s="183"/>
      <c r="J4" s="182"/>
      <c r="M4" s="184" t="s">
        <v>484</v>
      </c>
      <c r="N4" s="185"/>
      <c r="O4" s="185"/>
      <c r="P4" s="185"/>
    </row>
    <row r="5" spans="1:16" ht="4.5" hidden="1" customHeight="1" x14ac:dyDescent="0.2">
      <c r="A5" s="179"/>
      <c r="B5" s="179"/>
      <c r="C5" s="182"/>
      <c r="D5" s="182"/>
      <c r="E5" s="182"/>
      <c r="F5" s="182"/>
      <c r="G5" s="186" t="s">
        <v>485</v>
      </c>
      <c r="H5" s="186"/>
      <c r="I5" s="186"/>
      <c r="J5" s="182"/>
      <c r="K5" s="186" t="s">
        <v>485</v>
      </c>
    </row>
    <row r="6" spans="1:16" x14ac:dyDescent="0.2">
      <c r="A6" s="179"/>
      <c r="B6" s="179"/>
      <c r="C6" s="182"/>
      <c r="D6" s="182"/>
      <c r="E6" s="182" t="s">
        <v>486</v>
      </c>
      <c r="F6" s="182" t="s">
        <v>487</v>
      </c>
      <c r="G6" s="182"/>
      <c r="H6" s="182"/>
      <c r="I6" s="182"/>
      <c r="J6" s="182" t="s">
        <v>488</v>
      </c>
      <c r="K6" s="182" t="s">
        <v>489</v>
      </c>
      <c r="L6" s="182" t="s">
        <v>490</v>
      </c>
      <c r="M6" s="182" t="s">
        <v>488</v>
      </c>
      <c r="N6" s="182" t="s">
        <v>488</v>
      </c>
      <c r="O6" s="182" t="s">
        <v>491</v>
      </c>
      <c r="P6" s="182" t="s">
        <v>492</v>
      </c>
    </row>
    <row r="7" spans="1:16" ht="16" thickBot="1" x14ac:dyDescent="0.25">
      <c r="A7" s="187" t="s">
        <v>116</v>
      </c>
      <c r="B7" s="187" t="s">
        <v>493</v>
      </c>
      <c r="C7" s="188" t="s">
        <v>95</v>
      </c>
      <c r="D7" s="189"/>
      <c r="E7" s="189" t="s">
        <v>494</v>
      </c>
      <c r="F7" s="189" t="s">
        <v>495</v>
      </c>
      <c r="G7" s="189" t="s">
        <v>496</v>
      </c>
      <c r="H7" s="189" t="s">
        <v>497</v>
      </c>
      <c r="I7" s="189" t="s">
        <v>498</v>
      </c>
      <c r="J7" s="189" t="s">
        <v>499</v>
      </c>
      <c r="K7" s="189" t="s">
        <v>500</v>
      </c>
      <c r="L7" s="189" t="s">
        <v>117</v>
      </c>
      <c r="M7" s="189" t="s">
        <v>501</v>
      </c>
      <c r="N7" s="189" t="s">
        <v>502</v>
      </c>
      <c r="O7" s="189" t="s">
        <v>503</v>
      </c>
      <c r="P7" s="189" t="s">
        <v>504</v>
      </c>
    </row>
    <row r="8" spans="1:16" x14ac:dyDescent="0.2">
      <c r="A8" s="190" t="s">
        <v>543</v>
      </c>
      <c r="B8" s="179" t="s">
        <v>542</v>
      </c>
      <c r="C8" s="191">
        <v>66.569999999999993</v>
      </c>
      <c r="D8" s="192"/>
      <c r="E8" s="193">
        <v>9319</v>
      </c>
      <c r="F8" s="194">
        <f>E8+SUM(EXPE_LTM!$G$11:$G$13)</f>
        <v>12264</v>
      </c>
      <c r="G8" s="195">
        <f>F8/EXPE_LTM!$G$5</f>
        <v>1.0163255158697273</v>
      </c>
      <c r="H8" s="195">
        <f>F8/EXPE_LTM!$G$6</f>
        <v>13.581395348837209</v>
      </c>
      <c r="I8" s="195">
        <f>F8/EXPE_LTM!$G$7</f>
        <v>5.9707887049659201</v>
      </c>
      <c r="J8" s="191">
        <v>5.85</v>
      </c>
      <c r="K8" s="196">
        <v>7.2599999999999998E-2</v>
      </c>
      <c r="L8" s="193">
        <v>3967</v>
      </c>
      <c r="M8" s="253">
        <f>C8/J8</f>
        <v>11.379487179487178</v>
      </c>
      <c r="N8" s="195">
        <f>M8/(K8*100)</f>
        <v>1.5674224765133855</v>
      </c>
      <c r="O8" s="195">
        <f>E8/L8</f>
        <v>2.3491303251827578</v>
      </c>
      <c r="P8" s="229">
        <f>EXPE_LTM!$G$15/EXPE_LTM!$G$16</f>
        <v>0.19116548375046694</v>
      </c>
    </row>
    <row r="9" spans="1:16" x14ac:dyDescent="0.2">
      <c r="A9" s="179" t="s">
        <v>533</v>
      </c>
      <c r="B9" s="179" t="s">
        <v>121</v>
      </c>
      <c r="C9" s="191">
        <v>1362.77</v>
      </c>
      <c r="D9" s="192"/>
      <c r="E9" s="193">
        <v>55985</v>
      </c>
      <c r="F9" s="194">
        <f>E9+SUM(BKNG_LTM!$G$11:$G$13)</f>
        <v>56777</v>
      </c>
      <c r="G9" s="195">
        <f>F9/BKNG_LTM!$G$5</f>
        <v>3.7685517058276914</v>
      </c>
      <c r="H9" s="195">
        <f>F9/BKNG_LTM!$G$6</f>
        <v>10.62245088868101</v>
      </c>
      <c r="I9" s="195">
        <f>F9/BKNG_LTM!$G$7</f>
        <v>9.7655658754729959</v>
      </c>
      <c r="J9" s="191">
        <v>101.39</v>
      </c>
      <c r="K9" s="196">
        <v>5.6500000000000002E-2</v>
      </c>
      <c r="L9" s="193">
        <v>5933</v>
      </c>
      <c r="M9" s="253">
        <f t="shared" ref="M9:M12" si="0">C9/J9</f>
        <v>13.440871880856101</v>
      </c>
      <c r="N9" s="195">
        <f t="shared" ref="N9:N12" si="1">M9/(K9*100)</f>
        <v>2.3789153771426723</v>
      </c>
      <c r="O9" s="195">
        <f t="shared" ref="O9:O12" si="2">E9/L9</f>
        <v>9.4362042811393891</v>
      </c>
      <c r="P9" s="229">
        <f>BKNG_LTM!$G$15/BKNG_LTM!$G$16</f>
        <v>0.34155686384450051</v>
      </c>
    </row>
    <row r="10" spans="1:16" x14ac:dyDescent="0.2">
      <c r="A10" s="179" t="s">
        <v>544</v>
      </c>
      <c r="B10" s="179" t="s">
        <v>125</v>
      </c>
      <c r="C10" s="191">
        <v>18.440000000000001</v>
      </c>
      <c r="D10" s="192"/>
      <c r="E10" s="193">
        <v>2509</v>
      </c>
      <c r="F10" s="194">
        <f>E10+SUM(TRIP_LTM!$G$11:$G$13)</f>
        <v>2190</v>
      </c>
      <c r="G10" s="195">
        <f>F10/TRIP_LTM!$G$5</f>
        <v>1.4038461538461537</v>
      </c>
      <c r="H10" s="195">
        <f>F10/TRIP_LTM!$G$6</f>
        <v>11.711229946524064</v>
      </c>
      <c r="I10" s="195">
        <f>F10/TRIP_LTM!$G$7</f>
        <v>7.8214285714285712</v>
      </c>
      <c r="J10" s="191">
        <v>1.52</v>
      </c>
      <c r="K10" s="196">
        <v>1.5E-3</v>
      </c>
      <c r="L10" s="193">
        <v>1161</v>
      </c>
      <c r="M10" s="253">
        <f t="shared" si="0"/>
        <v>12.131578947368421</v>
      </c>
      <c r="N10" s="195">
        <f t="shared" si="1"/>
        <v>80.877192982456151</v>
      </c>
      <c r="O10" s="195">
        <f t="shared" si="2"/>
        <v>2.161068044788975</v>
      </c>
      <c r="P10" s="229">
        <f>TRIP_LTM!$G$15/TRIP_LTM!$G$16</f>
        <v>0.16078629032258066</v>
      </c>
    </row>
    <row r="11" spans="1:16" x14ac:dyDescent="0.2">
      <c r="A11" s="179" t="s">
        <v>122</v>
      </c>
      <c r="B11" s="179" t="s">
        <v>123</v>
      </c>
      <c r="C11" s="191">
        <v>5.59</v>
      </c>
      <c r="D11" s="192"/>
      <c r="E11" s="193">
        <v>1530</v>
      </c>
      <c r="F11" s="194">
        <f>E11+SUM(SABR_LTM!$G$11:$G$13)</f>
        <v>4445.84</v>
      </c>
      <c r="G11" s="195">
        <f>F11/SABR_LTM!$G$5</f>
        <v>1.1184508772079886</v>
      </c>
      <c r="H11" s="195">
        <f>F11/SABR_LTM!$G$6</f>
        <v>12.233439822572969</v>
      </c>
      <c r="I11" s="195">
        <f>F11/SABR_LTM!$G$7</f>
        <v>5.7141682025813649</v>
      </c>
      <c r="J11" s="197">
        <v>0.15</v>
      </c>
      <c r="K11" s="196">
        <v>5.21E-2</v>
      </c>
      <c r="L11" s="193">
        <v>939</v>
      </c>
      <c r="M11" s="253">
        <f t="shared" si="0"/>
        <v>37.266666666666666</v>
      </c>
      <c r="N11" s="195">
        <f t="shared" si="1"/>
        <v>7.152911068458093</v>
      </c>
      <c r="O11" s="195">
        <f t="shared" si="2"/>
        <v>1.6293929712460065</v>
      </c>
      <c r="P11" s="229">
        <f>SABR_LTM!$G$15/SABR_LTM!$G$16</f>
        <v>7.6657169816924803E-2</v>
      </c>
    </row>
    <row r="12" spans="1:16" x14ac:dyDescent="0.2">
      <c r="A12" s="179" t="s">
        <v>547</v>
      </c>
      <c r="B12" s="179" t="s">
        <v>548</v>
      </c>
      <c r="C12" s="191">
        <v>23.78</v>
      </c>
      <c r="D12" s="192"/>
      <c r="E12" s="193">
        <v>14103</v>
      </c>
      <c r="F12" s="194">
        <f>E12+SUM(TCOM_LTM!$G$11:$G$13)</f>
        <v>18601</v>
      </c>
      <c r="G12" s="195">
        <f>F12/TCOM_LTM!$G$5</f>
        <v>3.6266328719048548</v>
      </c>
      <c r="H12" s="195">
        <f>F12/TCOM_LTM!$G$6</f>
        <v>25.727524204702629</v>
      </c>
      <c r="I12" s="195">
        <f>F12/TCOM_LTM!$G$7</f>
        <v>19.979591836734695</v>
      </c>
      <c r="J12" s="197">
        <v>10.33</v>
      </c>
      <c r="K12" s="196">
        <v>0.12939999999999999</v>
      </c>
      <c r="L12" s="193">
        <v>103442</v>
      </c>
      <c r="M12" s="253">
        <f t="shared" si="0"/>
        <v>2.3020329138431754</v>
      </c>
      <c r="N12" s="195">
        <f t="shared" si="1"/>
        <v>0.17790053430009084</v>
      </c>
      <c r="O12" s="195">
        <f t="shared" si="2"/>
        <v>0.13633727112778174</v>
      </c>
      <c r="P12" s="229">
        <f>TCOM_LTM!$G$15/TCOM_LTM!$G$16</f>
        <v>0.10865331107401224</v>
      </c>
    </row>
    <row r="13" spans="1:16" x14ac:dyDescent="0.2">
      <c r="A13" s="179"/>
      <c r="B13" s="179"/>
      <c r="C13" s="198"/>
      <c r="D13" s="199"/>
      <c r="E13" s="194"/>
      <c r="F13" s="194"/>
      <c r="G13" s="195"/>
      <c r="H13" s="195"/>
      <c r="I13" s="195"/>
      <c r="J13" s="198"/>
      <c r="K13" s="195"/>
    </row>
    <row r="14" spans="1:16" x14ac:dyDescent="0.2">
      <c r="A14" s="179"/>
      <c r="B14" s="179"/>
      <c r="C14" s="198"/>
      <c r="D14" s="199"/>
      <c r="E14" s="194"/>
      <c r="F14" s="200" t="s">
        <v>505</v>
      </c>
      <c r="G14" s="201">
        <f>MAX(G9:G12)</f>
        <v>3.7685517058276914</v>
      </c>
      <c r="H14" s="202">
        <f>MAX(H9:H12)</f>
        <v>25.727524204702629</v>
      </c>
      <c r="I14" s="202">
        <f>MAX(I9:I12)</f>
        <v>19.979591836734695</v>
      </c>
      <c r="J14" s="203"/>
      <c r="K14" s="202"/>
      <c r="L14" s="202"/>
      <c r="M14" s="202">
        <f>MAX(M9:M12)</f>
        <v>37.266666666666666</v>
      </c>
      <c r="N14" s="202">
        <f>MAX(N9:N12)</f>
        <v>80.877192982456151</v>
      </c>
      <c r="O14" s="202">
        <f>MAX(O9:O12)</f>
        <v>9.4362042811393891</v>
      </c>
      <c r="P14" s="226">
        <f>MAX(P9:P12)</f>
        <v>0.34155686384450051</v>
      </c>
    </row>
    <row r="15" spans="1:16" x14ac:dyDescent="0.2">
      <c r="A15" s="179"/>
      <c r="B15" s="179"/>
      <c r="C15" s="198"/>
      <c r="D15" s="199"/>
      <c r="E15" s="194"/>
      <c r="F15" s="200" t="s">
        <v>506</v>
      </c>
      <c r="G15" s="204">
        <f>AVERAGE(G9:G12)</f>
        <v>2.4793704021966723</v>
      </c>
      <c r="H15" s="205">
        <f>AVERAGE(H9:H12)</f>
        <v>15.073661215620167</v>
      </c>
      <c r="I15" s="205">
        <f>AVERAGE(I9:I12)</f>
        <v>10.820188621554408</v>
      </c>
      <c r="J15" s="206"/>
      <c r="K15" s="205"/>
      <c r="L15" s="205"/>
      <c r="M15" s="205">
        <f>AVERAGE(M9:M12)</f>
        <v>16.28528760218359</v>
      </c>
      <c r="N15" s="205">
        <f>AVERAGE(N9:N12)</f>
        <v>22.646729990589254</v>
      </c>
      <c r="O15" s="205">
        <f>AVERAGE(O9:O12)</f>
        <v>3.3407506420755384</v>
      </c>
      <c r="P15" s="227">
        <f>AVERAGE(P9:P12)</f>
        <v>0.17191340876450456</v>
      </c>
    </row>
    <row r="16" spans="1:16" x14ac:dyDescent="0.2">
      <c r="A16" s="179"/>
      <c r="B16" s="179"/>
      <c r="C16" s="198"/>
      <c r="D16" s="199"/>
      <c r="E16" s="194"/>
      <c r="F16" s="200" t="s">
        <v>507</v>
      </c>
      <c r="G16" s="204">
        <f>MEDIAN(G9:G12)</f>
        <v>2.5152395128755041</v>
      </c>
      <c r="H16" s="205">
        <f>MEDIAN(H9:H12)</f>
        <v>11.972334884548516</v>
      </c>
      <c r="I16" s="205">
        <f>MEDIAN(I9:I12)</f>
        <v>8.7934972234507836</v>
      </c>
      <c r="J16" s="206"/>
      <c r="K16" s="205"/>
      <c r="L16" s="205"/>
      <c r="M16" s="205">
        <f>MEDIAN(M9:M12)</f>
        <v>12.786225414112261</v>
      </c>
      <c r="N16" s="205">
        <f>MEDIAN(N9:N12)</f>
        <v>4.765913222800382</v>
      </c>
      <c r="O16" s="205">
        <f>MEDIAN(O9:O12)</f>
        <v>1.8952305080174907</v>
      </c>
      <c r="P16" s="227">
        <f>MEDIAN(P9:P12)</f>
        <v>0.13471980069829645</v>
      </c>
    </row>
    <row r="17" spans="1:17" x14ac:dyDescent="0.2">
      <c r="A17" s="179"/>
      <c r="B17" s="179"/>
      <c r="C17" s="198"/>
      <c r="D17" s="199"/>
      <c r="E17" s="194"/>
      <c r="F17" s="200" t="s">
        <v>508</v>
      </c>
      <c r="G17" s="207">
        <f>MIN(G9:G12)</f>
        <v>1.1184508772079886</v>
      </c>
      <c r="H17" s="208">
        <f>MIN(H9:H12)</f>
        <v>10.62245088868101</v>
      </c>
      <c r="I17" s="208">
        <f>MIN(I9:I12)</f>
        <v>5.7141682025813649</v>
      </c>
      <c r="J17" s="209"/>
      <c r="K17" s="208"/>
      <c r="L17" s="208"/>
      <c r="M17" s="208">
        <f>MIN(M9:M12)</f>
        <v>2.3020329138431754</v>
      </c>
      <c r="N17" s="208">
        <f>MIN(N9:N12)</f>
        <v>0.17790053430009084</v>
      </c>
      <c r="O17" s="208">
        <f>MIN(O9:O12)</f>
        <v>0.13633727112778174</v>
      </c>
      <c r="P17" s="228">
        <f>MIN(P9:P12)</f>
        <v>7.6657169816924803E-2</v>
      </c>
    </row>
    <row r="18" spans="1:17" x14ac:dyDescent="0.2">
      <c r="A18" s="179"/>
      <c r="B18" s="179"/>
      <c r="C18" s="198"/>
      <c r="D18" s="199"/>
      <c r="E18" s="194"/>
      <c r="F18" s="194"/>
      <c r="G18" s="195"/>
      <c r="H18" s="195"/>
      <c r="I18" s="195"/>
      <c r="J18" s="198"/>
      <c r="K18" s="195"/>
    </row>
    <row r="19" spans="1:17" x14ac:dyDescent="0.2">
      <c r="A19" s="179"/>
      <c r="B19" s="179"/>
      <c r="C19" s="179"/>
      <c r="D19" s="179"/>
      <c r="E19" s="179"/>
      <c r="F19" s="179"/>
      <c r="G19" s="179"/>
      <c r="H19" s="179"/>
      <c r="I19" s="179"/>
      <c r="J19" s="179"/>
      <c r="K19" s="179"/>
    </row>
    <row r="20" spans="1:17" ht="46" x14ac:dyDescent="0.2">
      <c r="A20" s="179"/>
      <c r="B20" s="179"/>
      <c r="C20" s="210" t="s">
        <v>509</v>
      </c>
      <c r="D20" s="210" t="s">
        <v>89</v>
      </c>
      <c r="E20" s="210" t="s">
        <v>62</v>
      </c>
      <c r="F20" s="210" t="s">
        <v>510</v>
      </c>
      <c r="G20" s="210" t="s">
        <v>511</v>
      </c>
      <c r="H20" s="210" t="s">
        <v>512</v>
      </c>
      <c r="I20" s="210" t="s">
        <v>513</v>
      </c>
      <c r="J20" s="210"/>
      <c r="M20" s="210" t="s">
        <v>514</v>
      </c>
      <c r="N20" s="210" t="s">
        <v>515</v>
      </c>
      <c r="O20" s="210" t="s">
        <v>516</v>
      </c>
      <c r="P20" s="210" t="s">
        <v>517</v>
      </c>
    </row>
    <row r="21" spans="1:17" x14ac:dyDescent="0.2">
      <c r="A21" s="190" t="s">
        <v>543</v>
      </c>
      <c r="B21" s="179"/>
      <c r="C21" s="211">
        <f>E21/D21</f>
        <v>163.77007562320409</v>
      </c>
      <c r="D21" s="194">
        <f>DCF!$I$51/1000</f>
        <v>144.119125</v>
      </c>
      <c r="E21" s="194">
        <f>F21-SUM(EXPE_LTM!$G$11:$G$13)</f>
        <v>23602.400000000001</v>
      </c>
      <c r="F21" s="194">
        <f>G21*EXPE_LTM!$G$5</f>
        <v>26547.4</v>
      </c>
      <c r="G21" s="252">
        <v>2.2000000000000002</v>
      </c>
      <c r="H21" s="224"/>
      <c r="I21" s="223"/>
      <c r="J21" s="225"/>
      <c r="K21" s="223"/>
      <c r="L21" s="224"/>
      <c r="M21" s="224"/>
      <c r="N21" s="224"/>
      <c r="O21" s="224"/>
      <c r="P21" s="230">
        <f>MAX(EXPE_LTM!G15-(EXPE_Comps!P15*EXPE_LTM!G16),0)</f>
        <v>412.30243789937049</v>
      </c>
      <c r="Q21" s="224"/>
    </row>
    <row r="22" spans="1:17" x14ac:dyDescent="0.2">
      <c r="A22" s="190"/>
      <c r="B22" s="179"/>
      <c r="C22" s="211">
        <f>E22/D22</f>
        <v>197.26181379466468</v>
      </c>
      <c r="D22" s="194">
        <f>DCF!$I$51/1000</f>
        <v>144.119125</v>
      </c>
      <c r="E22" s="194">
        <f>F22-SUM(EXPE_LTM!$G$11:$G$13)</f>
        <v>28429.200000000001</v>
      </c>
      <c r="F22" s="194">
        <f>G22*EXPE_LTM!$G$5</f>
        <v>31374.2</v>
      </c>
      <c r="G22" s="252">
        <v>2.6</v>
      </c>
      <c r="H22" s="224"/>
      <c r="I22" s="223"/>
      <c r="J22" s="225"/>
      <c r="K22" s="223"/>
      <c r="L22" s="224"/>
      <c r="M22" s="224"/>
      <c r="N22" s="224"/>
      <c r="O22" s="224"/>
      <c r="P22" s="230"/>
      <c r="Q22" s="224"/>
    </row>
    <row r="23" spans="1:17" x14ac:dyDescent="0.2">
      <c r="A23" s="179"/>
      <c r="B23" s="179"/>
      <c r="C23" s="211">
        <f t="shared" ref="C23:C26" si="3">E23/D23</f>
        <v>54.579976118695633</v>
      </c>
      <c r="D23" s="194">
        <f>DCF!$I$51/1000</f>
        <v>144.119125</v>
      </c>
      <c r="E23" s="194">
        <f>F23-SUM(EXPE_LTM!$G$11:$G$13)</f>
        <v>7866.0184007473108</v>
      </c>
      <c r="F23" s="194">
        <f>H23*EXPE_LTM!$G$6</f>
        <v>10811.018400747311</v>
      </c>
      <c r="G23" s="224"/>
      <c r="H23" s="223">
        <f>H16</f>
        <v>11.972334884548516</v>
      </c>
      <c r="I23" s="223"/>
      <c r="J23" s="225"/>
      <c r="K23" s="223"/>
      <c r="L23" s="224"/>
      <c r="M23" s="224"/>
      <c r="N23" s="224"/>
      <c r="O23" s="224"/>
      <c r="P23" s="224"/>
      <c r="Q23" s="224"/>
    </row>
    <row r="24" spans="1:17" x14ac:dyDescent="0.2">
      <c r="C24" s="211">
        <f t="shared" si="3"/>
        <v>74.011801540600601</v>
      </c>
      <c r="D24" s="194">
        <f>DCF!$I$51/1000</f>
        <v>144.119125</v>
      </c>
      <c r="E24" s="194">
        <f>F24-SUM(EXPE_LTM!$G$11:$G$13)</f>
        <v>10666.51607770501</v>
      </c>
      <c r="F24" s="194">
        <f>H24*EXPE_LTM!$G$6</f>
        <v>13611.51607770501</v>
      </c>
      <c r="G24" s="224"/>
      <c r="H24" s="223">
        <f>H15</f>
        <v>15.073661215620167</v>
      </c>
      <c r="I24" s="223"/>
      <c r="J24" s="224"/>
      <c r="K24" s="224"/>
      <c r="L24" s="224"/>
      <c r="M24" s="224"/>
      <c r="N24" s="224"/>
      <c r="O24" s="224"/>
      <c r="P24" s="224"/>
      <c r="Q24" s="224"/>
    </row>
    <row r="25" spans="1:17" x14ac:dyDescent="0.2">
      <c r="C25" s="211">
        <f t="shared" si="3"/>
        <v>104.89130638954343</v>
      </c>
      <c r="D25" s="194">
        <f>DCF!$I$51/1000</f>
        <v>144.119125</v>
      </c>
      <c r="E25" s="194">
        <f>F25-SUM(EXPE_LTM!$G$11:$G$13)</f>
        <v>15116.843296967909</v>
      </c>
      <c r="F25" s="194">
        <f>I25*EXPE_LTM!$G$7</f>
        <v>18061.843296967909</v>
      </c>
      <c r="G25" s="224"/>
      <c r="H25" s="224"/>
      <c r="I25" s="223">
        <f>I16</f>
        <v>8.7934972234507836</v>
      </c>
      <c r="J25" s="224"/>
      <c r="K25" s="224"/>
      <c r="L25" s="224"/>
      <c r="M25" s="224"/>
      <c r="N25" s="224"/>
      <c r="O25" s="224"/>
      <c r="P25" s="224"/>
      <c r="Q25" s="224"/>
    </row>
    <row r="26" spans="1:17" x14ac:dyDescent="0.2">
      <c r="C26" s="211">
        <f t="shared" si="3"/>
        <v>133.77591231332244</v>
      </c>
      <c r="D26" s="194">
        <f>DCF!$I$51/1000</f>
        <v>144.119125</v>
      </c>
      <c r="E26" s="194">
        <f>F26-SUM(EXPE_LTM!$G$11:$G$13)</f>
        <v>19279.667428672754</v>
      </c>
      <c r="F26" s="194">
        <f>I26*EXPE_LTM!$G$7</f>
        <v>22224.667428672754</v>
      </c>
      <c r="G26" s="223"/>
      <c r="H26" s="223"/>
      <c r="I26" s="223">
        <f>I15</f>
        <v>10.820188621554408</v>
      </c>
      <c r="J26" s="224"/>
      <c r="K26" s="224"/>
      <c r="L26" s="224"/>
      <c r="M26" s="224"/>
      <c r="N26" s="224"/>
      <c r="O26" s="224"/>
      <c r="P26" s="224"/>
      <c r="Q26" s="224"/>
    </row>
    <row r="27" spans="1:17" x14ac:dyDescent="0.2">
      <c r="C27" s="211">
        <f>M27*M8</f>
        <v>145.50068817392361</v>
      </c>
      <c r="D27" s="194"/>
      <c r="E27" s="194"/>
      <c r="F27" s="194"/>
      <c r="G27" s="223"/>
      <c r="H27" s="223"/>
      <c r="I27" s="224"/>
      <c r="J27" s="224"/>
      <c r="K27" s="224"/>
      <c r="L27" s="224"/>
      <c r="M27" s="223">
        <f>M16</f>
        <v>12.786225414112261</v>
      </c>
      <c r="N27" s="224"/>
      <c r="O27" s="224"/>
      <c r="P27" s="224"/>
      <c r="Q27" s="224"/>
    </row>
    <row r="28" spans="1:17" x14ac:dyDescent="0.2">
      <c r="C28" s="211">
        <f>M28*M8</f>
        <v>185.31822148330966</v>
      </c>
      <c r="E28" s="194"/>
      <c r="F28" s="194"/>
      <c r="G28" s="224"/>
      <c r="H28" s="224"/>
      <c r="I28" s="224"/>
      <c r="J28" s="224"/>
      <c r="K28" s="224"/>
      <c r="L28" s="224"/>
      <c r="M28" s="223">
        <f>M15</f>
        <v>16.28528760218359</v>
      </c>
      <c r="N28" s="224"/>
      <c r="O28" s="224"/>
      <c r="P28" s="224"/>
      <c r="Q28" s="224"/>
    </row>
    <row r="29" spans="1:17" x14ac:dyDescent="0.2">
      <c r="C29" s="211">
        <f>N29*$K$8*$J$8*100</f>
        <v>202.41310048555499</v>
      </c>
      <c r="G29" s="224"/>
      <c r="H29" s="224"/>
      <c r="I29" s="224"/>
      <c r="J29" s="224"/>
      <c r="K29" s="224"/>
      <c r="L29" s="224"/>
      <c r="M29" s="224"/>
      <c r="N29" s="223">
        <f>N16</f>
        <v>4.765913222800382</v>
      </c>
      <c r="O29" s="224"/>
      <c r="P29" s="224"/>
      <c r="Q29" s="224"/>
    </row>
    <row r="30" spans="1:17" x14ac:dyDescent="0.2">
      <c r="C30" s="211">
        <f>N30*$K$8*$J$8*100</f>
        <v>961.82926943031612</v>
      </c>
      <c r="G30" s="224"/>
      <c r="H30" s="224"/>
      <c r="I30" s="224"/>
      <c r="J30" s="224"/>
      <c r="K30" s="224"/>
      <c r="L30" s="224"/>
      <c r="M30" s="224"/>
      <c r="N30" s="223">
        <f>N15</f>
        <v>22.646729990589254</v>
      </c>
      <c r="O30" s="224"/>
      <c r="P30" s="224"/>
      <c r="Q30" s="224"/>
    </row>
    <row r="31" spans="1:17" x14ac:dyDescent="0.2">
      <c r="C31" s="211">
        <f>E31/D31</f>
        <v>91.956968217186045</v>
      </c>
      <c r="D31" s="194">
        <f>DCF!$I$51/1000</f>
        <v>144.119125</v>
      </c>
      <c r="E31" s="194">
        <f>O31*L8</f>
        <v>13252.757797113662</v>
      </c>
      <c r="G31" s="224"/>
      <c r="H31" s="224"/>
      <c r="I31" s="224"/>
      <c r="J31" s="224"/>
      <c r="K31" s="224"/>
      <c r="L31" s="224"/>
      <c r="M31" s="224"/>
      <c r="N31" s="224"/>
      <c r="O31" s="223">
        <f>O15</f>
        <v>3.3407506420755384</v>
      </c>
      <c r="P31" s="224"/>
      <c r="Q31" s="224"/>
    </row>
    <row r="32" spans="1:17" x14ac:dyDescent="0.2">
      <c r="C32" s="211">
        <f>E32/D32</f>
        <v>78.021585296661868</v>
      </c>
      <c r="D32" s="194">
        <f>DCF!$I$51/1000</f>
        <v>144.119125</v>
      </c>
      <c r="E32" s="194">
        <f>O32*L9</f>
        <v>11244.402604067773</v>
      </c>
      <c r="G32" s="224"/>
      <c r="H32" s="224"/>
      <c r="I32" s="224"/>
      <c r="J32" s="224"/>
      <c r="K32" s="224"/>
      <c r="L32" s="224"/>
      <c r="M32" s="224"/>
      <c r="N32" s="224"/>
      <c r="O32" s="223">
        <f>O16</f>
        <v>1.8952305080174907</v>
      </c>
      <c r="P32" s="224"/>
      <c r="Q32" s="224"/>
    </row>
    <row r="33" spans="7:17" x14ac:dyDescent="0.2">
      <c r="G33" s="224"/>
      <c r="H33" s="224"/>
      <c r="I33" s="224"/>
      <c r="J33" s="224"/>
      <c r="K33" s="224"/>
      <c r="L33" s="224"/>
      <c r="M33" s="224"/>
      <c r="N33" s="224"/>
      <c r="O33" s="224"/>
      <c r="P33" s="224"/>
      <c r="Q33" s="224"/>
    </row>
  </sheetData>
  <pageMargins left="0.7" right="0.7" top="0.75" bottom="0.75" header="0.3" footer="0.3"/>
  <pageSetup orientation="portrait" verticalDpi="9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218"/>
  <sheetViews>
    <sheetView showGridLines="0" tabSelected="1" zoomScale="80" zoomScaleNormal="70" workbookViewId="0">
      <selection activeCell="I181" sqref="I181"/>
    </sheetView>
  </sheetViews>
  <sheetFormatPr baseColWidth="10" defaultColWidth="9.1640625" defaultRowHeight="14" outlineLevelRow="1" x14ac:dyDescent="0.15"/>
  <cols>
    <col min="1" max="1" width="3.83203125" style="23" customWidth="1"/>
    <col min="2" max="2" width="30.83203125" style="23" customWidth="1"/>
    <col min="3" max="3" width="7.83203125" style="23" customWidth="1"/>
    <col min="4" max="4" width="15.83203125" style="23" customWidth="1"/>
    <col min="5" max="5" width="31.5" style="23" customWidth="1"/>
    <col min="6" max="7" width="12.5" style="23" bestFit="1" customWidth="1"/>
    <col min="8" max="8" width="13.5" style="23" bestFit="1" customWidth="1"/>
    <col min="9" max="9" width="17.5" style="23" customWidth="1"/>
    <col min="10" max="15" width="13.5" style="23" bestFit="1" customWidth="1"/>
    <col min="16" max="18" width="9.1640625" style="23"/>
    <col min="19" max="19" width="14.5" style="23" bestFit="1" customWidth="1"/>
    <col min="20" max="16384" width="9.1640625" style="23"/>
  </cols>
  <sheetData>
    <row r="1" spans="1:18" x14ac:dyDescent="0.15">
      <c r="B1" s="24" t="s">
        <v>14</v>
      </c>
    </row>
    <row r="2" spans="1:18" x14ac:dyDescent="0.15">
      <c r="B2" s="25" t="s">
        <v>15</v>
      </c>
      <c r="D2" s="25"/>
      <c r="E2" s="25"/>
    </row>
    <row r="3" spans="1:18" x14ac:dyDescent="0.15">
      <c r="B3" s="25" t="s">
        <v>16</v>
      </c>
      <c r="D3" s="25"/>
      <c r="E3" s="25"/>
    </row>
    <row r="4" spans="1:18" x14ac:dyDescent="0.15">
      <c r="A4" s="23" t="s">
        <v>17</v>
      </c>
      <c r="B4" s="26" t="s">
        <v>18</v>
      </c>
      <c r="C4" s="27"/>
      <c r="D4" s="26"/>
      <c r="E4" s="26"/>
      <c r="F4" s="27"/>
      <c r="G4" s="27"/>
      <c r="H4" s="27"/>
      <c r="I4" s="27"/>
      <c r="J4" s="27"/>
      <c r="K4" s="27"/>
      <c r="L4" s="27"/>
      <c r="M4" s="27"/>
      <c r="N4" s="27"/>
      <c r="O4" s="27"/>
    </row>
    <row r="5" spans="1:18" x14ac:dyDescent="0.15">
      <c r="C5" s="25"/>
      <c r="D5" s="25"/>
      <c r="E5" s="25"/>
    </row>
    <row r="6" spans="1:18" x14ac:dyDescent="0.15">
      <c r="B6" s="25"/>
      <c r="C6" s="25"/>
      <c r="D6" s="25"/>
      <c r="E6" s="25"/>
      <c r="F6" s="28" t="s">
        <v>19</v>
      </c>
      <c r="G6" s="29"/>
      <c r="H6" s="29"/>
      <c r="I6" s="29"/>
      <c r="J6" s="30"/>
      <c r="K6" s="28" t="s">
        <v>20</v>
      </c>
      <c r="L6" s="29"/>
      <c r="M6" s="29"/>
      <c r="N6" s="29"/>
      <c r="O6" s="30"/>
      <c r="R6" s="97"/>
    </row>
    <row r="7" spans="1:18" x14ac:dyDescent="0.15">
      <c r="B7" s="25"/>
      <c r="C7" s="25"/>
      <c r="D7" s="25"/>
      <c r="E7" s="25"/>
      <c r="F7" s="31">
        <v>2015</v>
      </c>
      <c r="G7" s="32">
        <f t="shared" ref="G7:O7" si="0">F7+1</f>
        <v>2016</v>
      </c>
      <c r="H7" s="32">
        <f t="shared" si="0"/>
        <v>2017</v>
      </c>
      <c r="I7" s="32">
        <f t="shared" si="0"/>
        <v>2018</v>
      </c>
      <c r="J7" s="33">
        <f t="shared" si="0"/>
        <v>2019</v>
      </c>
      <c r="K7" s="34">
        <f t="shared" si="0"/>
        <v>2020</v>
      </c>
      <c r="L7" s="34">
        <f t="shared" si="0"/>
        <v>2021</v>
      </c>
      <c r="M7" s="34">
        <f t="shared" si="0"/>
        <v>2022</v>
      </c>
      <c r="N7" s="34">
        <f t="shared" si="0"/>
        <v>2023</v>
      </c>
      <c r="O7" s="34">
        <f t="shared" si="0"/>
        <v>2024</v>
      </c>
    </row>
    <row r="8" spans="1:18" x14ac:dyDescent="0.15">
      <c r="B8" s="23" t="s">
        <v>21</v>
      </c>
      <c r="F8" s="94">
        <f>VLOOKUP($B8, 'Income Statement'!$A$11:$F$66, MATCH(DCF!F$7, 'Income Statement'!$A$11:$F$11,0),FALSE)</f>
        <v>6672317</v>
      </c>
      <c r="G8" s="94">
        <f>VLOOKUP($B8, 'Income Statement'!$A$11:$F$66, MATCH(DCF!G$7, 'Income Statement'!$A$11:$F$11,0),FALSE)</f>
        <v>8773564</v>
      </c>
      <c r="H8" s="94">
        <f>VLOOKUP($B8, 'Income Statement'!$A$11:$F$66, MATCH(DCF!H$7, 'Income Statement'!$A$11:$F$11,0),FALSE)</f>
        <v>10059844</v>
      </c>
      <c r="I8" s="94">
        <f>VLOOKUP($B8, 'Income Statement'!$A$11:$F$66, MATCH(DCF!I$7, 'Income Statement'!$A$11:$F$11,0),FALSE)</f>
        <v>11223000</v>
      </c>
      <c r="J8" s="95">
        <f>VLOOKUP($B8, 'Income Statement'!$A$11:$F$66, MATCH(DCF!J$7, 'Income Statement'!$A$11:$F$11,0),FALSE)</f>
        <v>12067000</v>
      </c>
      <c r="K8" s="60">
        <f>J8*(1+K28)</f>
        <v>4826800</v>
      </c>
      <c r="L8" s="60">
        <f t="shared" ref="L8:O8" si="1">K8*(1+L28)</f>
        <v>7722880</v>
      </c>
      <c r="M8" s="60">
        <f t="shared" si="1"/>
        <v>11970464</v>
      </c>
      <c r="N8" s="60">
        <f t="shared" si="1"/>
        <v>12928101.120000001</v>
      </c>
      <c r="O8" s="60">
        <f t="shared" si="1"/>
        <v>13962349.209600002</v>
      </c>
    </row>
    <row r="9" spans="1:18" x14ac:dyDescent="0.15">
      <c r="B9" s="23" t="s">
        <v>22</v>
      </c>
      <c r="F9" s="94">
        <f>VLOOKUP($B9, 'Income Statement'!$A$11:$F$66, MATCH(DCF!F$7, 'Income Statement'!$A$11:$F$11,0),FALSE)</f>
        <v>1309559</v>
      </c>
      <c r="G9" s="94">
        <f>VLOOKUP($B9, 'Income Statement'!$A$11:$F$66, MATCH(DCF!G$7, 'Income Statement'!$A$11:$F$11,0),FALSE)</f>
        <v>1596698</v>
      </c>
      <c r="H9" s="94">
        <f>VLOOKUP($B9, 'Income Statement'!$A$11:$F$66, MATCH(DCF!H$7, 'Income Statement'!$A$11:$F$11,0),FALSE)</f>
        <v>1756531</v>
      </c>
      <c r="I9" s="94">
        <f>VLOOKUP($B9, 'Income Statement'!$A$11:$F$66, MATCH(DCF!I$7, 'Income Statement'!$A$11:$F$11,0),FALSE)</f>
        <v>1965000</v>
      </c>
      <c r="J9" s="95">
        <f>VLOOKUP($B9, 'Income Statement'!$A$11:$F$66, MATCH(DCF!J$7, 'Income Statement'!$A$11:$F$11,0),FALSE)</f>
        <v>2163000</v>
      </c>
      <c r="K9" s="60">
        <f>K8*K29</f>
        <v>796422</v>
      </c>
      <c r="L9" s="60">
        <f t="shared" ref="L9:O9" si="2">L8*L29</f>
        <v>1293582.4000000001</v>
      </c>
      <c r="M9" s="60">
        <f t="shared" si="2"/>
        <v>2034978.8800000001</v>
      </c>
      <c r="N9" s="60">
        <f t="shared" si="2"/>
        <v>2230097.4432000006</v>
      </c>
      <c r="O9" s="60">
        <f t="shared" si="2"/>
        <v>2443411.1116800006</v>
      </c>
    </row>
    <row r="10" spans="1:18" x14ac:dyDescent="0.15">
      <c r="B10" s="24" t="s">
        <v>23</v>
      </c>
      <c r="F10" s="100">
        <f>F8-F9</f>
        <v>5362758</v>
      </c>
      <c r="G10" s="100">
        <f t="shared" ref="G10:O10" si="3">G8-G9</f>
        <v>7176866</v>
      </c>
      <c r="H10" s="100">
        <f t="shared" si="3"/>
        <v>8303313</v>
      </c>
      <c r="I10" s="100">
        <f t="shared" si="3"/>
        <v>9258000</v>
      </c>
      <c r="J10" s="101">
        <f t="shared" si="3"/>
        <v>9904000</v>
      </c>
      <c r="K10" s="102">
        <f t="shared" si="3"/>
        <v>4030378</v>
      </c>
      <c r="L10" s="102">
        <f t="shared" si="3"/>
        <v>6429297.5999999996</v>
      </c>
      <c r="M10" s="102">
        <f t="shared" si="3"/>
        <v>9935485.1199999992</v>
      </c>
      <c r="N10" s="102">
        <f t="shared" si="3"/>
        <v>10698003.676800001</v>
      </c>
      <c r="O10" s="102">
        <f t="shared" si="3"/>
        <v>11518938.097920001</v>
      </c>
    </row>
    <row r="11" spans="1:18" x14ac:dyDescent="0.15">
      <c r="B11" s="24"/>
      <c r="F11" s="94"/>
      <c r="G11" s="94"/>
      <c r="H11" s="94"/>
      <c r="I11" s="94"/>
      <c r="J11" s="95"/>
      <c r="K11" s="60"/>
      <c r="L11" s="60"/>
      <c r="M11" s="60"/>
      <c r="N11" s="60"/>
      <c r="O11" s="60"/>
    </row>
    <row r="12" spans="1:18" x14ac:dyDescent="0.15">
      <c r="B12" s="7" t="s">
        <v>24</v>
      </c>
      <c r="F12" s="94">
        <f>VLOOKUP($B12, 'Income Statement'!$A$11:$F$66, MATCH(DCF!F$7, 'Income Statement'!$A$11:$F$11,0),FALSE)</f>
        <v>830244</v>
      </c>
      <c r="G12" s="94">
        <f>VLOOKUP($B12, 'Income Statement'!$A$11:$F$66, MATCH(DCF!G$7, 'Income Statement'!$A$11:$F$11,0),FALSE)</f>
        <v>1235019</v>
      </c>
      <c r="H12" s="94">
        <f>VLOOKUP($B12, 'Income Statement'!$A$11:$F$66, MATCH(DCF!H$7, 'Income Statement'!$A$11:$F$11,0),FALSE)</f>
        <v>1386787</v>
      </c>
      <c r="I12" s="94">
        <f>VLOOKUP($B12, 'Income Statement'!$A$11:$F$66, MATCH(DCF!I$7, 'Income Statement'!$A$11:$F$11,0),FALSE)</f>
        <v>1617000</v>
      </c>
      <c r="J12" s="95">
        <f>VLOOKUP($B12, 'Income Statement'!$A$11:$F$66, MATCH(DCF!J$7, 'Income Statement'!$A$11:$F$11,0),FALSE)</f>
        <v>1763000</v>
      </c>
      <c r="K12" s="60">
        <f>K$8*K30</f>
        <v>482680</v>
      </c>
      <c r="L12" s="60">
        <f t="shared" ref="L12:O12" si="4">L$8*L30</f>
        <v>926745.59999999998</v>
      </c>
      <c r="M12" s="60">
        <f t="shared" si="4"/>
        <v>1536209.5466666666</v>
      </c>
      <c r="N12" s="60">
        <f t="shared" si="4"/>
        <v>1766840.4864000001</v>
      </c>
      <c r="O12" s="60">
        <f t="shared" si="4"/>
        <v>2024540.6353920002</v>
      </c>
      <c r="R12" s="97"/>
    </row>
    <row r="13" spans="1:18" x14ac:dyDescent="0.15">
      <c r="B13" s="7" t="s">
        <v>25</v>
      </c>
      <c r="F13" s="94">
        <f>VLOOKUP($B13, 'Income Statement'!$A$11:$F$66, MATCH(DCF!F$7, 'Income Statement'!$A$11:$F$11,0),FALSE)</f>
        <v>3381086</v>
      </c>
      <c r="G13" s="94">
        <f>VLOOKUP($B13, 'Income Statement'!$A$11:$F$66, MATCH(DCF!G$7, 'Income Statement'!$A$11:$F$11,0),FALSE)</f>
        <v>4367417</v>
      </c>
      <c r="H13" s="94">
        <f>VLOOKUP($B13, 'Income Statement'!$A$11:$F$66, MATCH(DCF!H$7, 'Income Statement'!$A$11:$F$11,0),FALSE)</f>
        <v>5297832</v>
      </c>
      <c r="I13" s="94">
        <f>VLOOKUP($B13, 'Income Statement'!$A$11:$F$66, MATCH(DCF!I$7, 'Income Statement'!$A$11:$F$11,0),FALSE)</f>
        <v>5767000</v>
      </c>
      <c r="J13" s="95">
        <f>VLOOKUP($B13, 'Income Statement'!$A$11:$F$66, MATCH(DCF!J$7, 'Income Statement'!$A$11:$F$11,0),FALSE)</f>
        <v>6135000</v>
      </c>
      <c r="K13" s="60">
        <f t="shared" ref="K13:O14" si="5">K$8*K31</f>
        <v>1254968</v>
      </c>
      <c r="L13" s="60">
        <f t="shared" si="5"/>
        <v>3089152</v>
      </c>
      <c r="M13" s="60">
        <f t="shared" si="5"/>
        <v>5745822.7199999997</v>
      </c>
      <c r="N13" s="60">
        <f t="shared" si="5"/>
        <v>6205488.5376000004</v>
      </c>
      <c r="O13" s="60">
        <f t="shared" si="5"/>
        <v>6701927.6206080001</v>
      </c>
    </row>
    <row r="14" spans="1:18" x14ac:dyDescent="0.15">
      <c r="B14" s="7" t="s">
        <v>26</v>
      </c>
      <c r="F14" s="94">
        <f>VLOOKUP($B14, 'Income Statement'!$A$11:$F$66, MATCH(DCF!F$7, 'Income Statement'!$A$11:$F$11,0),FALSE)</f>
        <v>573913</v>
      </c>
      <c r="G14" s="94">
        <f>VLOOKUP($B14, 'Income Statement'!$A$11:$F$66, MATCH(DCF!G$7, 'Income Statement'!$A$11:$F$11,0),FALSE)</f>
        <v>678292</v>
      </c>
      <c r="H14" s="94">
        <f>VLOOKUP($B14, 'Income Statement'!$A$11:$F$66, MATCH(DCF!H$7, 'Income Statement'!$A$11:$F$11,0),FALSE)</f>
        <v>675961</v>
      </c>
      <c r="I14" s="94">
        <f>VLOOKUP($B14, 'Income Statement'!$A$11:$F$66, MATCH(DCF!I$7, 'Income Statement'!$A$11:$F$11,0),FALSE)</f>
        <v>808000</v>
      </c>
      <c r="J14" s="96">
        <f>VLOOKUP($B14, 'Income Statement'!$A$11:$F$66, MATCH(DCF!J$7, 'Income Statement'!$A$11:$F$11,0),FALSE)</f>
        <v>847000</v>
      </c>
      <c r="K14" s="60">
        <f t="shared" si="5"/>
        <v>217206</v>
      </c>
      <c r="L14" s="60">
        <f t="shared" si="5"/>
        <v>424758.4</v>
      </c>
      <c r="M14" s="60">
        <f t="shared" si="5"/>
        <v>718227.84</v>
      </c>
      <c r="N14" s="60">
        <f t="shared" si="5"/>
        <v>808006.32000000007</v>
      </c>
      <c r="O14" s="60">
        <f t="shared" si="5"/>
        <v>907552.69862400019</v>
      </c>
    </row>
    <row r="15" spans="1:18" x14ac:dyDescent="0.15">
      <c r="B15" s="37" t="s">
        <v>27</v>
      </c>
      <c r="C15" s="37"/>
      <c r="D15" s="37"/>
      <c r="E15" s="37"/>
      <c r="F15" s="103">
        <f>F10-F12-F13-F14</f>
        <v>577515</v>
      </c>
      <c r="G15" s="103">
        <f t="shared" ref="G15:O15" si="6">G10-G12-G13-G14</f>
        <v>896138</v>
      </c>
      <c r="H15" s="103">
        <f t="shared" si="6"/>
        <v>942733</v>
      </c>
      <c r="I15" s="103">
        <f t="shared" si="6"/>
        <v>1066000</v>
      </c>
      <c r="J15" s="104">
        <f t="shared" si="6"/>
        <v>1159000</v>
      </c>
      <c r="K15" s="103">
        <f t="shared" si="6"/>
        <v>2075524</v>
      </c>
      <c r="L15" s="103">
        <f t="shared" si="6"/>
        <v>1988641.6</v>
      </c>
      <c r="M15" s="103">
        <f t="shared" si="6"/>
        <v>1935225.0133333327</v>
      </c>
      <c r="N15" s="103">
        <f t="shared" si="6"/>
        <v>1917668.3328000002</v>
      </c>
      <c r="O15" s="103">
        <f t="shared" si="6"/>
        <v>1884917.1432959994</v>
      </c>
    </row>
    <row r="16" spans="1:18" x14ac:dyDescent="0.15">
      <c r="B16" s="23" t="s">
        <v>28</v>
      </c>
      <c r="C16" s="38">
        <v>0.21</v>
      </c>
      <c r="D16" s="38">
        <v>0.25</v>
      </c>
      <c r="F16" s="105">
        <f>F15*$D$16</f>
        <v>144378.75</v>
      </c>
      <c r="G16" s="105">
        <f t="shared" ref="G16:J16" si="7">G15*$D$16</f>
        <v>224034.5</v>
      </c>
      <c r="H16" s="105">
        <f t="shared" si="7"/>
        <v>235683.25</v>
      </c>
      <c r="I16" s="105">
        <f t="shared" si="7"/>
        <v>266500</v>
      </c>
      <c r="J16" s="106">
        <f t="shared" si="7"/>
        <v>289750</v>
      </c>
      <c r="K16" s="105">
        <f>K15*$C$16</f>
        <v>435860.04</v>
      </c>
      <c r="L16" s="105">
        <f t="shared" ref="L16:O16" si="8">L15*$C$16</f>
        <v>417614.73599999998</v>
      </c>
      <c r="M16" s="105">
        <f t="shared" si="8"/>
        <v>406397.25279999984</v>
      </c>
      <c r="N16" s="105">
        <f t="shared" si="8"/>
        <v>402710.34988800006</v>
      </c>
      <c r="O16" s="105">
        <f t="shared" si="8"/>
        <v>395832.60009215988</v>
      </c>
    </row>
    <row r="17" spans="2:21" x14ac:dyDescent="0.15">
      <c r="B17" s="41" t="s">
        <v>29</v>
      </c>
      <c r="C17" s="41"/>
      <c r="D17" s="41"/>
      <c r="E17" s="41"/>
      <c r="F17" s="107">
        <f>F15-F16</f>
        <v>433136.25</v>
      </c>
      <c r="G17" s="107">
        <f t="shared" ref="G17:O17" si="9">G15-G16</f>
        <v>672103.5</v>
      </c>
      <c r="H17" s="107">
        <f t="shared" si="9"/>
        <v>707049.75</v>
      </c>
      <c r="I17" s="107">
        <f t="shared" si="9"/>
        <v>799500</v>
      </c>
      <c r="J17" s="108">
        <f t="shared" si="9"/>
        <v>869250</v>
      </c>
      <c r="K17" s="107">
        <f t="shared" si="9"/>
        <v>1639663.96</v>
      </c>
      <c r="L17" s="107">
        <f t="shared" si="9"/>
        <v>1571026.8640000001</v>
      </c>
      <c r="M17" s="107">
        <f t="shared" si="9"/>
        <v>1528827.7605333328</v>
      </c>
      <c r="N17" s="107">
        <f t="shared" si="9"/>
        <v>1514957.9829120003</v>
      </c>
      <c r="O17" s="107">
        <f t="shared" si="9"/>
        <v>1489084.5432038396</v>
      </c>
    </row>
    <row r="18" spans="2:21" x14ac:dyDescent="0.15">
      <c r="F18" s="105"/>
      <c r="G18" s="105"/>
      <c r="H18" s="105"/>
      <c r="I18" s="105"/>
      <c r="J18" s="106"/>
      <c r="K18" s="60"/>
      <c r="L18" s="60"/>
      <c r="M18" s="60"/>
      <c r="N18" s="60"/>
      <c r="O18" s="60"/>
    </row>
    <row r="19" spans="2:21" x14ac:dyDescent="0.15">
      <c r="B19" s="23" t="s">
        <v>30</v>
      </c>
      <c r="F19" s="94">
        <f>('Cash Flow'!B17+'Cash Flow'!B18+'Cash Flow'!B21)</f>
        <v>678413</v>
      </c>
      <c r="G19" s="94">
        <f>('Cash Flow'!C17+'Cash Flow'!C18+'Cash Flow'!C21)</f>
        <v>1036619</v>
      </c>
      <c r="H19" s="94">
        <f>('Cash Flow'!D17+'Cash Flow'!D18+'Cash Flow'!D21)</f>
        <v>1038894</v>
      </c>
      <c r="I19" s="94">
        <f>('Cash Flow'!E17+'Cash Flow'!E18+'Cash Flow'!E21)</f>
        <v>879000</v>
      </c>
      <c r="J19" s="95">
        <f>('Cash Flow'!F17+'Cash Flow'!F18+'Cash Flow'!F21)</f>
        <v>953000</v>
      </c>
      <c r="K19" s="105">
        <f>K20*K34*-1</f>
        <v>260647.2</v>
      </c>
      <c r="L19" s="105">
        <f t="shared" ref="L19:O19" si="10">L20*L34*-1</f>
        <v>434412</v>
      </c>
      <c r="M19" s="105">
        <f t="shared" si="10"/>
        <v>750847.35439999984</v>
      </c>
      <c r="N19" s="105">
        <f t="shared" si="10"/>
        <v>898826.23036799987</v>
      </c>
      <c r="O19" s="105">
        <f t="shared" si="10"/>
        <v>1070214.0669158399</v>
      </c>
      <c r="R19" s="97"/>
    </row>
    <row r="20" spans="2:21" x14ac:dyDescent="0.15">
      <c r="B20" s="23" t="s">
        <v>31</v>
      </c>
      <c r="F20" s="94">
        <f>'Cash Flow'!B40</f>
        <v>-787041</v>
      </c>
      <c r="G20" s="94">
        <f>'Cash Flow'!C40</f>
        <v>-749348</v>
      </c>
      <c r="H20" s="94">
        <f>'Cash Flow'!D40</f>
        <v>-710330</v>
      </c>
      <c r="I20" s="94">
        <f>'Cash Flow'!E40</f>
        <v>-878000</v>
      </c>
      <c r="J20" s="95">
        <f>'Cash Flow'!F40</f>
        <v>-1160000</v>
      </c>
      <c r="K20" s="60">
        <f>K8*K33*-1</f>
        <v>-289608</v>
      </c>
      <c r="L20" s="60">
        <f t="shared" ref="L20:O20" si="11">L8*L33*-1</f>
        <v>-463372.79999999999</v>
      </c>
      <c r="M20" s="60">
        <f t="shared" si="11"/>
        <v>-770099.85066666652</v>
      </c>
      <c r="N20" s="60">
        <f t="shared" si="11"/>
        <v>-887729.61023999995</v>
      </c>
      <c r="O20" s="60">
        <f t="shared" si="11"/>
        <v>-1019251.4923007998</v>
      </c>
    </row>
    <row r="21" spans="2:21" x14ac:dyDescent="0.15">
      <c r="B21" s="23" t="s">
        <v>32</v>
      </c>
      <c r="F21" s="39"/>
      <c r="G21" s="115">
        <f>-G72</f>
        <v>-111223</v>
      </c>
      <c r="H21" s="118">
        <f t="shared" ref="H21:O21" si="12">-H72</f>
        <v>608267</v>
      </c>
      <c r="I21" s="118">
        <f t="shared" si="12"/>
        <v>179662</v>
      </c>
      <c r="J21" s="109">
        <f t="shared" si="12"/>
        <v>737000</v>
      </c>
      <c r="K21" s="118">
        <f t="shared" si="12"/>
        <v>-3174920</v>
      </c>
      <c r="L21" s="118">
        <f t="shared" si="12"/>
        <v>965360</v>
      </c>
      <c r="M21" s="118">
        <f t="shared" si="12"/>
        <v>2123792</v>
      </c>
      <c r="N21" s="118">
        <f t="shared" si="12"/>
        <v>478818.56000000052</v>
      </c>
      <c r="O21" s="118">
        <f t="shared" si="12"/>
        <v>517124.04480000027</v>
      </c>
    </row>
    <row r="22" spans="2:21" x14ac:dyDescent="0.15">
      <c r="B22" s="24" t="s">
        <v>33</v>
      </c>
      <c r="C22" s="24"/>
      <c r="D22" s="24"/>
      <c r="E22" s="24"/>
      <c r="F22" s="119">
        <f t="shared" ref="F22:O22" si="13">SUM(F17:F21)</f>
        <v>324508.25</v>
      </c>
      <c r="G22" s="119">
        <f t="shared" si="13"/>
        <v>848151.5</v>
      </c>
      <c r="H22" s="119">
        <f t="shared" si="13"/>
        <v>1643880.75</v>
      </c>
      <c r="I22" s="119">
        <f t="shared" si="13"/>
        <v>980162</v>
      </c>
      <c r="J22" s="120">
        <f t="shared" si="13"/>
        <v>1399250</v>
      </c>
      <c r="K22" s="119">
        <f t="shared" si="13"/>
        <v>-1564216.84</v>
      </c>
      <c r="L22" s="119">
        <f t="shared" si="13"/>
        <v>2507426.0640000002</v>
      </c>
      <c r="M22" s="119">
        <f t="shared" si="13"/>
        <v>3633367.264266666</v>
      </c>
      <c r="N22" s="119">
        <f t="shared" si="13"/>
        <v>2004873.1630400009</v>
      </c>
      <c r="O22" s="119">
        <f t="shared" si="13"/>
        <v>2057171.1626188799</v>
      </c>
    </row>
    <row r="23" spans="2:21" x14ac:dyDescent="0.15">
      <c r="C23" s="24"/>
      <c r="D23" s="24"/>
      <c r="E23" s="24"/>
      <c r="F23" s="105"/>
      <c r="G23" s="105"/>
      <c r="H23" s="105"/>
      <c r="I23" s="105"/>
      <c r="J23" s="105"/>
      <c r="K23" s="60"/>
      <c r="L23" s="60"/>
      <c r="M23" s="60"/>
      <c r="N23" s="60"/>
      <c r="O23" s="60"/>
    </row>
    <row r="24" spans="2:21" x14ac:dyDescent="0.15">
      <c r="F24" s="39"/>
    </row>
    <row r="25" spans="2:21" x14ac:dyDescent="0.15">
      <c r="F25" s="28" t="s">
        <v>19</v>
      </c>
      <c r="G25" s="29"/>
      <c r="H25" s="29"/>
      <c r="I25" s="29"/>
      <c r="J25" s="30"/>
      <c r="K25" s="28" t="s">
        <v>20</v>
      </c>
      <c r="L25" s="29"/>
      <c r="M25" s="29"/>
      <c r="N25" s="29"/>
      <c r="O25" s="30"/>
    </row>
    <row r="26" spans="2:21" x14ac:dyDescent="0.15">
      <c r="F26" s="42">
        <f>F7</f>
        <v>2015</v>
      </c>
      <c r="G26" s="43">
        <f t="shared" ref="G26:O26" si="14">F26+1</f>
        <v>2016</v>
      </c>
      <c r="H26" s="43">
        <f t="shared" si="14"/>
        <v>2017</v>
      </c>
      <c r="I26" s="43">
        <f t="shared" si="14"/>
        <v>2018</v>
      </c>
      <c r="J26" s="44">
        <f t="shared" si="14"/>
        <v>2019</v>
      </c>
      <c r="K26" s="43">
        <f t="shared" si="14"/>
        <v>2020</v>
      </c>
      <c r="L26" s="43">
        <f t="shared" si="14"/>
        <v>2021</v>
      </c>
      <c r="M26" s="43">
        <f t="shared" si="14"/>
        <v>2022</v>
      </c>
      <c r="N26" s="43">
        <f t="shared" si="14"/>
        <v>2023</v>
      </c>
      <c r="O26" s="43">
        <f t="shared" si="14"/>
        <v>2024</v>
      </c>
    </row>
    <row r="27" spans="2:21" x14ac:dyDescent="0.15">
      <c r="B27" s="24" t="s">
        <v>34</v>
      </c>
      <c r="C27" s="24"/>
      <c r="E27" s="24"/>
      <c r="F27" s="45"/>
      <c r="G27" s="45"/>
      <c r="H27" s="45"/>
      <c r="I27" s="45"/>
      <c r="J27" s="46"/>
      <c r="K27" s="45"/>
      <c r="L27" s="45"/>
      <c r="M27" s="45"/>
      <c r="N27" s="45"/>
      <c r="O27" s="45"/>
      <c r="S27" s="97"/>
    </row>
    <row r="28" spans="2:21" x14ac:dyDescent="0.15">
      <c r="B28" s="23" t="s">
        <v>35</v>
      </c>
      <c r="F28" s="45"/>
      <c r="G28" s="45">
        <f>(G8-F8)/F8</f>
        <v>0.31492013943582114</v>
      </c>
      <c r="H28" s="45">
        <f t="shared" ref="H28:J28" si="15">(H8-G8)/G8</f>
        <v>0.14660860740287526</v>
      </c>
      <c r="I28" s="45">
        <f t="shared" si="15"/>
        <v>0.115623661758572</v>
      </c>
      <c r="J28" s="46">
        <f t="shared" si="15"/>
        <v>7.5202708723157805E-2</v>
      </c>
      <c r="K28" s="47">
        <v>-0.6</v>
      </c>
      <c r="L28" s="47">
        <v>0.6</v>
      </c>
      <c r="M28" s="154">
        <v>0.55000000000000004</v>
      </c>
      <c r="N28" s="154">
        <v>0.08</v>
      </c>
      <c r="O28" s="154">
        <v>0.08</v>
      </c>
      <c r="Q28" s="45" t="s">
        <v>36</v>
      </c>
      <c r="R28" s="15">
        <f>(S28-L28)/($O$26-$L$26)</f>
        <v>-0.19499999999999998</v>
      </c>
      <c r="S28" s="47">
        <v>1.4999999999999999E-2</v>
      </c>
      <c r="U28" s="97"/>
    </row>
    <row r="29" spans="2:21" x14ac:dyDescent="0.15">
      <c r="B29" s="23" t="s">
        <v>37</v>
      </c>
      <c r="F29" s="45">
        <f>F9/F8</f>
        <v>0.19626750347742772</v>
      </c>
      <c r="G29" s="45">
        <f t="shared" ref="G29:J29" si="16">G9/G8</f>
        <v>0.18198966805280042</v>
      </c>
      <c r="H29" s="45">
        <f t="shared" si="16"/>
        <v>0.1746081748384965</v>
      </c>
      <c r="I29" s="45">
        <f t="shared" si="16"/>
        <v>0.17508687516706764</v>
      </c>
      <c r="J29" s="46">
        <f t="shared" si="16"/>
        <v>0.1792491920112704</v>
      </c>
      <c r="K29" s="47">
        <v>0.16500000000000001</v>
      </c>
      <c r="L29" s="45">
        <f t="shared" ref="L29:O29" si="17">K29+$R29</f>
        <v>0.16750000000000001</v>
      </c>
      <c r="M29" s="45">
        <f>L29+$R29</f>
        <v>0.17</v>
      </c>
      <c r="N29" s="45">
        <f t="shared" si="17"/>
        <v>0.17250000000000001</v>
      </c>
      <c r="O29" s="45">
        <f t="shared" si="17"/>
        <v>0.17500000000000002</v>
      </c>
      <c r="Q29" s="45" t="s">
        <v>36</v>
      </c>
      <c r="R29" s="15">
        <f t="shared" ref="R29:R34" si="18">(S29-K29)/($O$26-$K$26)</f>
        <v>2.4999999999999953E-3</v>
      </c>
      <c r="S29" s="47">
        <v>0.17499999999999999</v>
      </c>
      <c r="U29" s="97"/>
    </row>
    <row r="30" spans="2:21" x14ac:dyDescent="0.15">
      <c r="B30" s="23" t="s">
        <v>38</v>
      </c>
      <c r="F30" s="45">
        <f>F12/F$8</f>
        <v>0.1244311383886587</v>
      </c>
      <c r="G30" s="45">
        <f t="shared" ref="G30:J30" si="19">G12/G$8</f>
        <v>0.14076594186809374</v>
      </c>
      <c r="H30" s="45">
        <f t="shared" si="19"/>
        <v>0.13785372814926355</v>
      </c>
      <c r="I30" s="45">
        <f t="shared" si="19"/>
        <v>0.14407912322908314</v>
      </c>
      <c r="J30" s="46">
        <f t="shared" si="19"/>
        <v>0.14610093643821995</v>
      </c>
      <c r="K30" s="47">
        <v>0.1</v>
      </c>
      <c r="L30" s="154">
        <v>0.12</v>
      </c>
      <c r="M30" s="45">
        <f>L30+$R$30</f>
        <v>0.12833333333333333</v>
      </c>
      <c r="N30" s="45">
        <f t="shared" ref="N30:O30" si="20">M30+$R$30</f>
        <v>0.13666666666666666</v>
      </c>
      <c r="O30" s="45">
        <f t="shared" si="20"/>
        <v>0.14499999999999999</v>
      </c>
      <c r="Q30" s="45" t="s">
        <v>36</v>
      </c>
      <c r="R30" s="15">
        <f>(S30-L30)/($O$26-$L$26)</f>
        <v>8.3333333333333315E-3</v>
      </c>
      <c r="S30" s="47">
        <v>0.14499999999999999</v>
      </c>
    </row>
    <row r="31" spans="2:21" x14ac:dyDescent="0.15">
      <c r="B31" s="23" t="s">
        <v>39</v>
      </c>
      <c r="F31" s="45">
        <f t="shared" ref="F31:J32" si="21">F13/F$8</f>
        <v>0.50673341809149652</v>
      </c>
      <c r="G31" s="45">
        <f t="shared" si="21"/>
        <v>0.49779280119230906</v>
      </c>
      <c r="H31" s="45">
        <f t="shared" si="21"/>
        <v>0.52663162569916588</v>
      </c>
      <c r="I31" s="45">
        <f t="shared" si="21"/>
        <v>0.51385547536309362</v>
      </c>
      <c r="J31" s="46">
        <f t="shared" si="21"/>
        <v>0.50841136985166158</v>
      </c>
      <c r="K31" s="47">
        <v>0.26</v>
      </c>
      <c r="L31" s="154">
        <v>0.4</v>
      </c>
      <c r="M31" s="154">
        <v>0.48</v>
      </c>
      <c r="N31" s="45">
        <f>M31+$R$31</f>
        <v>0.48</v>
      </c>
      <c r="O31" s="45">
        <f t="shared" ref="O31" si="22">N31+$R$31</f>
        <v>0.48</v>
      </c>
      <c r="Q31" s="45" t="s">
        <v>36</v>
      </c>
      <c r="R31" s="15">
        <f>(S31-M31)/($O$26-$M$26)</f>
        <v>0</v>
      </c>
      <c r="S31" s="47">
        <v>0.48</v>
      </c>
    </row>
    <row r="32" spans="2:21" x14ac:dyDescent="0.15">
      <c r="B32" s="23" t="s">
        <v>40</v>
      </c>
      <c r="F32" s="45">
        <f t="shared" si="21"/>
        <v>8.6014048792945538E-2</v>
      </c>
      <c r="G32" s="45">
        <f t="shared" si="21"/>
        <v>7.7310885291313775E-2</v>
      </c>
      <c r="H32" s="45">
        <f t="shared" si="21"/>
        <v>6.719398432023399E-2</v>
      </c>
      <c r="I32" s="45">
        <f t="shared" si="21"/>
        <v>7.1995010246814581E-2</v>
      </c>
      <c r="J32" s="46">
        <f t="shared" si="21"/>
        <v>7.0191431175934363E-2</v>
      </c>
      <c r="K32" s="47">
        <v>4.4999999999999998E-2</v>
      </c>
      <c r="L32" s="154">
        <v>5.5E-2</v>
      </c>
      <c r="M32" s="154">
        <v>0.06</v>
      </c>
      <c r="N32" s="45">
        <f t="shared" ref="N32:O32" si="23">M32+$R32</f>
        <v>6.25E-2</v>
      </c>
      <c r="O32" s="45">
        <f t="shared" si="23"/>
        <v>6.5000000000000002E-2</v>
      </c>
      <c r="Q32" s="45" t="s">
        <v>36</v>
      </c>
      <c r="R32" s="15">
        <f>(S32-M32)/($O$26-$M$26)</f>
        <v>2.5000000000000022E-3</v>
      </c>
      <c r="S32" s="47">
        <v>6.5000000000000002E-2</v>
      </c>
    </row>
    <row r="33" spans="1:19" x14ac:dyDescent="0.15">
      <c r="B33" s="23" t="s">
        <v>41</v>
      </c>
      <c r="F33" s="45">
        <f>F20/F8*-1</f>
        <v>0.11795617624282539</v>
      </c>
      <c r="G33" s="45">
        <f t="shared" ref="G33:J33" si="24">G20/G8*-1</f>
        <v>8.5409760503257284E-2</v>
      </c>
      <c r="H33" s="45">
        <f t="shared" si="24"/>
        <v>7.0610438889509616E-2</v>
      </c>
      <c r="I33" s="45">
        <f t="shared" si="24"/>
        <v>7.8232201728593062E-2</v>
      </c>
      <c r="J33" s="46">
        <f t="shared" si="24"/>
        <v>9.6129941161846352E-2</v>
      </c>
      <c r="K33" s="47">
        <v>0.06</v>
      </c>
      <c r="L33" s="154">
        <v>0.06</v>
      </c>
      <c r="M33" s="45">
        <f t="shared" ref="M33:O33" si="25">L33+$R33</f>
        <v>6.4333333333333326E-2</v>
      </c>
      <c r="N33" s="45">
        <f t="shared" si="25"/>
        <v>6.8666666666666654E-2</v>
      </c>
      <c r="O33" s="45">
        <f t="shared" si="25"/>
        <v>7.2999999999999982E-2</v>
      </c>
      <c r="Q33" s="45" t="s">
        <v>36</v>
      </c>
      <c r="R33" s="15">
        <f>(S33-L33)/($O$26-$L$26)</f>
        <v>4.3333333333333323E-3</v>
      </c>
      <c r="S33" s="47">
        <v>7.2999999999999995E-2</v>
      </c>
    </row>
    <row r="34" spans="1:19" x14ac:dyDescent="0.15">
      <c r="B34" s="23" t="s">
        <v>42</v>
      </c>
      <c r="F34" s="45">
        <f>F19/F20*-1</f>
        <v>0.86197923615161087</v>
      </c>
      <c r="G34" s="45">
        <f t="shared" ref="G34:J34" si="26">G19/G20*-1</f>
        <v>1.3833612687296155</v>
      </c>
      <c r="H34" s="45">
        <f t="shared" si="26"/>
        <v>1.4625512085931891</v>
      </c>
      <c r="I34" s="45">
        <f t="shared" si="26"/>
        <v>1.0011389521640091</v>
      </c>
      <c r="J34" s="46">
        <f t="shared" si="26"/>
        <v>0.82155172413793098</v>
      </c>
      <c r="K34" s="47">
        <v>0.9</v>
      </c>
      <c r="L34" s="45">
        <f t="shared" ref="L34:O34" si="27">K34+$R34</f>
        <v>0.9375</v>
      </c>
      <c r="M34" s="45">
        <f t="shared" si="27"/>
        <v>0.97499999999999998</v>
      </c>
      <c r="N34" s="45">
        <f t="shared" si="27"/>
        <v>1.0125</v>
      </c>
      <c r="O34" s="45">
        <f t="shared" si="27"/>
        <v>1.05</v>
      </c>
      <c r="Q34" s="45" t="s">
        <v>36</v>
      </c>
      <c r="R34" s="15">
        <f t="shared" si="18"/>
        <v>3.7500000000000006E-2</v>
      </c>
      <c r="S34" s="47">
        <v>1.05</v>
      </c>
    </row>
    <row r="35" spans="1:19" x14ac:dyDescent="0.15">
      <c r="B35" s="23" t="s">
        <v>43</v>
      </c>
      <c r="F35" s="45">
        <f>F10/F8</f>
        <v>0.80373249652257228</v>
      </c>
      <c r="G35" s="45">
        <f t="shared" ref="G35:J35" si="28">G10/G8</f>
        <v>0.81801033194719952</v>
      </c>
      <c r="H35" s="45">
        <f t="shared" si="28"/>
        <v>0.82539182516150345</v>
      </c>
      <c r="I35" s="45">
        <f t="shared" si="28"/>
        <v>0.82491312483293233</v>
      </c>
      <c r="J35" s="46">
        <f t="shared" si="28"/>
        <v>0.82075080798872957</v>
      </c>
      <c r="K35" s="98">
        <f>K10/K8</f>
        <v>0.83499999999999996</v>
      </c>
      <c r="L35" s="99">
        <f t="shared" ref="L35:O35" si="29">L10/L8</f>
        <v>0.83249999999999991</v>
      </c>
      <c r="M35" s="45">
        <f t="shared" si="29"/>
        <v>0.83</v>
      </c>
      <c r="N35" s="45">
        <f t="shared" si="29"/>
        <v>0.82750000000000001</v>
      </c>
      <c r="O35" s="45">
        <f t="shared" si="29"/>
        <v>0.82499999999999996</v>
      </c>
    </row>
    <row r="36" spans="1:19" x14ac:dyDescent="0.15">
      <c r="F36" s="36"/>
      <c r="G36" s="36"/>
      <c r="H36" s="36"/>
      <c r="I36" s="36"/>
      <c r="J36" s="36"/>
      <c r="K36" s="48"/>
      <c r="L36" s="36"/>
      <c r="M36" s="36"/>
      <c r="N36" s="36"/>
      <c r="O36" s="36"/>
    </row>
    <row r="37" spans="1:19" x14ac:dyDescent="0.15">
      <c r="A37" s="23" t="s">
        <v>17</v>
      </c>
      <c r="B37" s="26" t="s">
        <v>44</v>
      </c>
      <c r="C37" s="27"/>
      <c r="D37" s="26"/>
      <c r="E37" s="26"/>
      <c r="F37" s="27"/>
      <c r="G37" s="27"/>
      <c r="H37" s="27"/>
      <c r="I37" s="27"/>
      <c r="J37" s="27"/>
      <c r="K37" s="27"/>
      <c r="L37" s="27"/>
      <c r="M37" s="27"/>
      <c r="N37" s="27"/>
      <c r="O37" s="27"/>
    </row>
    <row r="39" spans="1:19" x14ac:dyDescent="0.15">
      <c r="F39" s="49" t="s">
        <v>45</v>
      </c>
      <c r="G39" s="41"/>
      <c r="H39" s="41"/>
      <c r="I39" s="50"/>
      <c r="K39" s="49" t="s">
        <v>46</v>
      </c>
      <c r="L39" s="41"/>
      <c r="M39" s="41"/>
      <c r="N39" s="50"/>
      <c r="P39" s="49" t="s">
        <v>47</v>
      </c>
      <c r="Q39" s="41"/>
      <c r="R39" s="41"/>
      <c r="S39" s="50"/>
    </row>
    <row r="40" spans="1:19" x14ac:dyDescent="0.15">
      <c r="F40" s="51" t="s">
        <v>48</v>
      </c>
      <c r="I40" s="52">
        <f>G131</f>
        <v>9.0568804000000017E-2</v>
      </c>
      <c r="K40" s="51"/>
      <c r="N40" s="46"/>
      <c r="P40" s="51"/>
      <c r="S40" s="123"/>
    </row>
    <row r="41" spans="1:19" x14ac:dyDescent="0.15">
      <c r="F41" s="51" t="s">
        <v>49</v>
      </c>
      <c r="I41" s="109">
        <f>$O$22</f>
        <v>2057171.1626188799</v>
      </c>
      <c r="K41" s="51" t="s">
        <v>50</v>
      </c>
      <c r="N41" s="112">
        <f>O15+O19</f>
        <v>2955131.2102118395</v>
      </c>
      <c r="P41" s="51" t="s">
        <v>51</v>
      </c>
      <c r="S41" s="53">
        <f>N50</f>
        <v>58018491.641748622</v>
      </c>
    </row>
    <row r="42" spans="1:19" x14ac:dyDescent="0.15">
      <c r="F42" s="51" t="s">
        <v>52</v>
      </c>
      <c r="I42" s="54">
        <v>3.5000000000000003E-2</v>
      </c>
      <c r="J42" s="97"/>
      <c r="K42" s="51" t="s">
        <v>53</v>
      </c>
      <c r="N42" s="55">
        <v>22.82</v>
      </c>
      <c r="P42" s="51" t="s">
        <v>54</v>
      </c>
      <c r="S42" s="53">
        <f>I84</f>
        <v>139989.125</v>
      </c>
    </row>
    <row r="43" spans="1:19" x14ac:dyDescent="0.15">
      <c r="F43" s="51" t="s">
        <v>55</v>
      </c>
      <c r="I43" s="111">
        <f>I41*(1+I42)/(I40-I42)</f>
        <v>38315961.475624703</v>
      </c>
      <c r="K43" s="51" t="s">
        <v>55</v>
      </c>
      <c r="N43" s="112">
        <f>N41*N42</f>
        <v>67436094.217034176</v>
      </c>
      <c r="O43" s="35"/>
      <c r="P43" s="51" t="s">
        <v>56</v>
      </c>
      <c r="S43" s="155">
        <f ca="1">'Options Value'!E30</f>
        <v>3348005.8278481951</v>
      </c>
    </row>
    <row r="44" spans="1:19" x14ac:dyDescent="0.15">
      <c r="F44" s="51" t="s">
        <v>57</v>
      </c>
      <c r="I44" s="52">
        <f>F131</f>
        <v>6.9078256034253743E-2</v>
      </c>
      <c r="K44" s="51" t="s">
        <v>57</v>
      </c>
      <c r="N44" s="117">
        <f>F131</f>
        <v>6.9078256034253743E-2</v>
      </c>
      <c r="O44" s="35"/>
      <c r="P44" s="56" t="s">
        <v>58</v>
      </c>
      <c r="Q44" s="57"/>
      <c r="R44" s="57"/>
      <c r="S44" s="124">
        <f ca="1">(S41-S43)/(S42+I85)</f>
        <v>379.34233790206832</v>
      </c>
    </row>
    <row r="45" spans="1:19" x14ac:dyDescent="0.15">
      <c r="F45" s="51" t="s">
        <v>59</v>
      </c>
      <c r="I45" s="111">
        <f>PV(I44,O26-J26,0,I43)*-1</f>
        <v>27436723.418525111</v>
      </c>
      <c r="K45" s="51" t="s">
        <v>59</v>
      </c>
      <c r="N45" s="112">
        <f>PV(N44,O26-K26,0,N43)*-1</f>
        <v>51624329.331804849</v>
      </c>
    </row>
    <row r="46" spans="1:19" x14ac:dyDescent="0.15">
      <c r="F46" s="51"/>
      <c r="I46" s="53"/>
      <c r="K46" s="51"/>
      <c r="N46" s="53"/>
      <c r="P46" s="49" t="s">
        <v>60</v>
      </c>
      <c r="Q46" s="41"/>
      <c r="R46" s="41"/>
      <c r="S46" s="50"/>
    </row>
    <row r="47" spans="1:19" x14ac:dyDescent="0.15">
      <c r="F47" s="51" t="s">
        <v>61</v>
      </c>
      <c r="I47" s="112">
        <f>NPV(I44,K22:O22)</f>
        <v>6712162.3099437691</v>
      </c>
      <c r="K47" s="51" t="s">
        <v>61</v>
      </c>
      <c r="N47" s="112">
        <f>NPV(N44,K22:O22)</f>
        <v>6712162.3099437691</v>
      </c>
      <c r="P47" s="51" t="s">
        <v>62</v>
      </c>
      <c r="S47" s="53">
        <f>I50</f>
        <v>33172407.72846888</v>
      </c>
    </row>
    <row r="48" spans="1:19" x14ac:dyDescent="0.15">
      <c r="F48" s="51" t="s">
        <v>63</v>
      </c>
      <c r="I48" s="112">
        <f>I47+I45</f>
        <v>34148885.72846888</v>
      </c>
      <c r="K48" s="51" t="s">
        <v>63</v>
      </c>
      <c r="N48" s="112">
        <f>N47+N45</f>
        <v>58336491.641748622</v>
      </c>
      <c r="P48" s="51" t="s">
        <v>64</v>
      </c>
      <c r="S48" s="53">
        <f>N92</f>
        <v>157234.125</v>
      </c>
    </row>
    <row r="49" spans="1:19" x14ac:dyDescent="0.15">
      <c r="F49" s="51" t="s">
        <v>65</v>
      </c>
      <c r="I49" s="121">
        <f>'Balance Sheet'!$F$54+'Balance Sheet'!$F$53-'Balance Sheet'!$F$16-'Balance Sheet'!$F$17-'Balance Sheet'!$F$18+'Balance Sheet'!B58</f>
        <v>976478</v>
      </c>
      <c r="K49" s="51" t="s">
        <v>65</v>
      </c>
      <c r="N49" s="121">
        <f>'Balance Sheet'!$F$54+'Balance Sheet'!$F$53-'Balance Sheet'!$F$16-'Balance Sheet'!$F$17-'Balance Sheet'!$F$18</f>
        <v>318000</v>
      </c>
      <c r="P49" s="51" t="s">
        <v>66</v>
      </c>
      <c r="S49" s="125">
        <f>N90</f>
        <v>1350451.55</v>
      </c>
    </row>
    <row r="50" spans="1:19" x14ac:dyDescent="0.15">
      <c r="F50" s="51" t="s">
        <v>62</v>
      </c>
      <c r="I50" s="112">
        <f>I48-I49</f>
        <v>33172407.72846888</v>
      </c>
      <c r="K50" s="51" t="s">
        <v>62</v>
      </c>
      <c r="N50" s="112">
        <f>N48-N49</f>
        <v>58018491.641748622</v>
      </c>
      <c r="P50" s="56" t="s">
        <v>58</v>
      </c>
      <c r="Q50" s="57"/>
      <c r="R50" s="57"/>
      <c r="S50" s="124">
        <f>(S47+S49)/S48</f>
        <v>219.56340125573172</v>
      </c>
    </row>
    <row r="51" spans="1:19" x14ac:dyDescent="0.15">
      <c r="F51" s="51" t="s">
        <v>64</v>
      </c>
      <c r="I51" s="40">
        <f>I92</f>
        <v>144119.125</v>
      </c>
      <c r="K51" s="51" t="s">
        <v>64</v>
      </c>
      <c r="N51" s="40">
        <f>N92</f>
        <v>157234.125</v>
      </c>
      <c r="P51" s="97"/>
    </row>
    <row r="52" spans="1:19" x14ac:dyDescent="0.15">
      <c r="F52" s="56" t="s">
        <v>58</v>
      </c>
      <c r="G52" s="57"/>
      <c r="H52" s="57"/>
      <c r="I52" s="58">
        <f>I50/I51</f>
        <v>230.17352990776817</v>
      </c>
      <c r="K52" s="56" t="s">
        <v>58</v>
      </c>
      <c r="L52" s="57"/>
      <c r="M52" s="57"/>
      <c r="N52" s="58">
        <f>N50/N51</f>
        <v>368.99427297826486</v>
      </c>
    </row>
    <row r="53" spans="1:19" x14ac:dyDescent="0.15">
      <c r="N53" s="97"/>
    </row>
    <row r="54" spans="1:19" x14ac:dyDescent="0.15">
      <c r="E54" s="59"/>
    </row>
    <row r="55" spans="1:19" x14ac:dyDescent="0.15">
      <c r="G55" s="60"/>
    </row>
    <row r="56" spans="1:19" x14ac:dyDescent="0.15">
      <c r="A56" s="23" t="s">
        <v>17</v>
      </c>
      <c r="B56" s="26" t="s">
        <v>67</v>
      </c>
      <c r="C56" s="27"/>
      <c r="D56" s="26"/>
      <c r="E56" s="26"/>
      <c r="F56" s="27"/>
      <c r="G56" s="27"/>
      <c r="H56" s="27"/>
      <c r="I56" s="27"/>
      <c r="J56" s="27"/>
      <c r="K56" s="27"/>
      <c r="L56" s="27"/>
      <c r="M56" s="27"/>
      <c r="N56" s="27"/>
      <c r="O56" s="27"/>
    </row>
    <row r="59" spans="1:19" x14ac:dyDescent="0.15">
      <c r="F59" s="28" t="s">
        <v>19</v>
      </c>
      <c r="G59" s="29"/>
      <c r="H59" s="29"/>
      <c r="I59" s="29"/>
      <c r="J59" s="30"/>
      <c r="K59" s="28" t="s">
        <v>20</v>
      </c>
      <c r="L59" s="29"/>
      <c r="M59" s="29"/>
      <c r="N59" s="29"/>
      <c r="O59" s="30"/>
    </row>
    <row r="60" spans="1:19" x14ac:dyDescent="0.15">
      <c r="F60" s="61">
        <f>F7</f>
        <v>2015</v>
      </c>
      <c r="G60" s="43">
        <f t="shared" ref="G60:O60" si="30">F60+1</f>
        <v>2016</v>
      </c>
      <c r="H60" s="43">
        <f t="shared" si="30"/>
        <v>2017</v>
      </c>
      <c r="I60" s="43">
        <f t="shared" si="30"/>
        <v>2018</v>
      </c>
      <c r="J60" s="44">
        <f t="shared" si="30"/>
        <v>2019</v>
      </c>
      <c r="K60" s="43">
        <f t="shared" si="30"/>
        <v>2020</v>
      </c>
      <c r="L60" s="43">
        <f t="shared" si="30"/>
        <v>2021</v>
      </c>
      <c r="M60" s="43">
        <f t="shared" si="30"/>
        <v>2022</v>
      </c>
      <c r="N60" s="43">
        <f t="shared" si="30"/>
        <v>2023</v>
      </c>
      <c r="O60" s="43">
        <f t="shared" si="30"/>
        <v>2024</v>
      </c>
    </row>
    <row r="61" spans="1:19" x14ac:dyDescent="0.15">
      <c r="B61" s="23" t="s">
        <v>68</v>
      </c>
      <c r="F61" s="94">
        <f>VLOOKUP($B61, 'Balance Sheet'!$A$11:$F$71, MATCH(DCF!F$60, 'Balance Sheet'!$A$11:$F$11, 0), FALSE)</f>
        <v>2978761</v>
      </c>
      <c r="G61" s="94">
        <f>VLOOKUP($B61, 'Balance Sheet'!$A$11:$F$71, MATCH(DCF!G$60, 'Balance Sheet'!$A$11:$F$11, 0), FALSE)</f>
        <v>3450251</v>
      </c>
      <c r="H61" s="94">
        <f>VLOOKUP($B61, 'Balance Sheet'!$A$11:$F$71, MATCH(DCF!H$60, 'Balance Sheet'!$A$11:$F$11, 0), FALSE)</f>
        <v>5539589</v>
      </c>
      <c r="I61" s="94">
        <f>VLOOKUP($B61, 'Balance Sheet'!$A$11:$F$71, MATCH(DCF!I$60, 'Balance Sheet'!$A$11:$F$11, 0), FALSE)</f>
        <v>5197000</v>
      </c>
      <c r="J61" s="95">
        <f>VLOOKUP($B61, 'Balance Sheet'!$A$11:$F$71, MATCH(DCF!J$60, 'Balance Sheet'!$A$11:$F$11, 0), FALSE)</f>
        <v>7735000</v>
      </c>
      <c r="K61" s="60"/>
      <c r="L61" s="60"/>
      <c r="M61" s="60"/>
      <c r="N61" s="60"/>
      <c r="O61" s="60"/>
    </row>
    <row r="62" spans="1:19" x14ac:dyDescent="0.15">
      <c r="B62" s="23" t="s">
        <v>69</v>
      </c>
      <c r="F62" s="94">
        <f>VLOOKUP($B62, 'Balance Sheet'!$A$11:$F$71, MATCH(DCF!F$60, 'Balance Sheet'!$A$11:$F$11, 0), FALSE)</f>
        <v>1676299</v>
      </c>
      <c r="G62" s="94">
        <f>VLOOKUP($B62, 'Balance Sheet'!$A$11:$F$71, MATCH(DCF!G$60, 'Balance Sheet'!$A$11:$F$11, 0), FALSE)</f>
        <v>1796811</v>
      </c>
      <c r="H62" s="94">
        <f>VLOOKUP($B62, 'Balance Sheet'!$A$11:$F$71, MATCH(DCF!H$60, 'Balance Sheet'!$A$11:$F$11, 0), FALSE)</f>
        <v>2846729</v>
      </c>
      <c r="I62" s="94">
        <f>VLOOKUP($B62, 'Balance Sheet'!$A$11:$F$71, MATCH(DCF!I$60, 'Balance Sheet'!$A$11:$F$11, 0), FALSE)</f>
        <v>2443000</v>
      </c>
      <c r="J62" s="95">
        <f>VLOOKUP($B62, 'Balance Sheet'!$A$11:$F$71, MATCH(DCF!J$60, 'Balance Sheet'!$A$11:$F$11, 0), FALSE)</f>
        <v>3315000</v>
      </c>
      <c r="K62" s="60"/>
      <c r="L62" s="60"/>
      <c r="M62" s="60"/>
      <c r="N62" s="60"/>
      <c r="O62" s="60"/>
    </row>
    <row r="63" spans="1:19" x14ac:dyDescent="0.15">
      <c r="B63" s="23" t="s">
        <v>182</v>
      </c>
      <c r="F63" s="94">
        <f>VLOOKUP($B63,'Balance Sheet'!$A$11:$F$71, MATCH(F$60,'Balance Sheet'!$A$11:$F$11,0),FALSE)</f>
        <v>11324</v>
      </c>
      <c r="G63" s="94">
        <f>VLOOKUP($B63,'Balance Sheet'!$A$11:$F$71, MATCH(G$60,'Balance Sheet'!$A$11:$F$11,0),FALSE)</f>
        <v>18733</v>
      </c>
      <c r="H63" s="94">
        <f>VLOOKUP($B63,'Balance Sheet'!$A$11:$F$71, MATCH(H$60,'Balance Sheet'!$A$11:$F$11,0),FALSE)</f>
        <v>69055</v>
      </c>
      <c r="I63" s="94">
        <f>VLOOKUP($B63,'Balance Sheet'!$A$11:$F$71, MATCH(I$60,'Balance Sheet'!$A$11:$F$11,0),FALSE)</f>
        <v>259000</v>
      </c>
      <c r="J63" s="95">
        <f>VLOOKUP($B63,'Balance Sheet'!$A$11:$F$71, MATCH(J$60,'Balance Sheet'!$A$11:$F$11,0),FALSE)</f>
        <v>779000</v>
      </c>
      <c r="K63" s="60"/>
      <c r="L63" s="60"/>
      <c r="M63" s="60"/>
      <c r="N63" s="60"/>
      <c r="O63" s="60"/>
    </row>
    <row r="64" spans="1:19" x14ac:dyDescent="0.15">
      <c r="B64" s="23" t="s">
        <v>70</v>
      </c>
      <c r="F64" s="94">
        <f>VLOOKUP($B64, 'Balance Sheet'!$A$11:$F$71, MATCH(DCF!F$60, 'Balance Sheet'!$A$11:$F$11, 0), FALSE)</f>
        <v>33739</v>
      </c>
      <c r="G64" s="94">
        <f>VLOOKUP($B64, 'Balance Sheet'!$A$11:$F$71, MATCH(DCF!G$60, 'Balance Sheet'!$A$11:$F$11, 0), FALSE)</f>
        <v>72313</v>
      </c>
      <c r="H64" s="94">
        <f>VLOOKUP($B64, 'Balance Sheet'!$A$11:$F$71, MATCH(DCF!H$60, 'Balance Sheet'!$A$11:$F$11, 0), FALSE)</f>
        <v>468508</v>
      </c>
      <c r="I64" s="94">
        <f>VLOOKUP($B64, 'Balance Sheet'!$A$11:$F$71, MATCH(DCF!I$60, 'Balance Sheet'!$A$11:$F$11, 0), FALSE)</f>
        <v>28000</v>
      </c>
      <c r="J64" s="95">
        <f>VLOOKUP($B64, 'Balance Sheet'!$A$11:$F$71, MATCH(DCF!J$60, 'Balance Sheet'!$A$11:$F$11, 0), FALSE)</f>
        <v>526000</v>
      </c>
      <c r="K64" s="60"/>
      <c r="L64" s="60"/>
      <c r="M64" s="60"/>
      <c r="N64" s="60"/>
      <c r="O64" s="60"/>
    </row>
    <row r="65" spans="1:17" x14ac:dyDescent="0.15">
      <c r="B65" s="23" t="s">
        <v>71</v>
      </c>
      <c r="F65" s="60">
        <f>F61-F62-F64</f>
        <v>1268723</v>
      </c>
      <c r="G65" s="60">
        <f t="shared" ref="G65:J65" si="31">G61-G62-G64</f>
        <v>1581127</v>
      </c>
      <c r="H65" s="60">
        <f t="shared" si="31"/>
        <v>2224352</v>
      </c>
      <c r="I65" s="60">
        <f t="shared" si="31"/>
        <v>2726000</v>
      </c>
      <c r="J65" s="111">
        <f t="shared" si="31"/>
        <v>3894000</v>
      </c>
      <c r="K65" s="60"/>
      <c r="L65" s="60"/>
      <c r="M65" s="60"/>
      <c r="N65" s="60"/>
      <c r="O65" s="60"/>
    </row>
    <row r="66" spans="1:17" x14ac:dyDescent="0.15">
      <c r="F66" s="60"/>
      <c r="G66" s="60"/>
      <c r="H66" s="60"/>
      <c r="I66" s="60"/>
      <c r="J66" s="111"/>
      <c r="K66" s="60"/>
      <c r="L66" s="60"/>
      <c r="M66" s="60"/>
      <c r="N66" s="60"/>
      <c r="O66" s="60"/>
    </row>
    <row r="67" spans="1:17" x14ac:dyDescent="0.15">
      <c r="B67" s="23" t="s">
        <v>72</v>
      </c>
      <c r="F67" s="94">
        <f>VLOOKUP($B67, 'Balance Sheet'!$A$11:$F$71, MATCH(DCF!F$60, 'Balance Sheet'!$A$11:$F$11, 0), FALSE)</f>
        <v>5926017</v>
      </c>
      <c r="G67" s="94">
        <f>VLOOKUP($B67, 'Balance Sheet'!$A$11:$F$71, MATCH(DCF!G$60, 'Balance Sheet'!$A$11:$F$11, 0), FALSE)</f>
        <v>6127198</v>
      </c>
      <c r="H67" s="94">
        <f>VLOOKUP($B67, 'Balance Sheet'!$A$11:$F$71, MATCH(DCF!H$60, 'Balance Sheet'!$A$11:$F$11, 0), FALSE)</f>
        <v>7878690</v>
      </c>
      <c r="I67" s="94">
        <f>VLOOKUP($B67, 'Balance Sheet'!$A$11:$F$71, MATCH(DCF!I$60, 'Balance Sheet'!$A$11:$F$11, 0), FALSE)</f>
        <v>8060000</v>
      </c>
      <c r="J67" s="95">
        <f>VLOOKUP($B67, 'Balance Sheet'!$A$11:$F$71, MATCH(DCF!J$60, 'Balance Sheet'!$A$11:$F$11, 0), FALSE)</f>
        <v>10714000</v>
      </c>
      <c r="K67" s="60"/>
      <c r="L67" s="60"/>
      <c r="M67" s="60"/>
      <c r="N67" s="60"/>
      <c r="O67" s="60"/>
    </row>
    <row r="68" spans="1:17" x14ac:dyDescent="0.15">
      <c r="B68" s="23" t="s">
        <v>73</v>
      </c>
      <c r="F68" s="94" t="str">
        <f>VLOOKUP($B68, 'Balance Sheet'!$A$11:$F$71, MATCH(DCF!F$60, 'Balance Sheet'!$A$11:$F$11, 0), FALSE)</f>
        <v>-</v>
      </c>
      <c r="G68" s="94" t="str">
        <f>VLOOKUP($B68, 'Balance Sheet'!$A$11:$F$71, MATCH(DCF!G$60, 'Balance Sheet'!$A$11:$F$11, 0), FALSE)</f>
        <v>-</v>
      </c>
      <c r="H68" s="94">
        <f>VLOOKUP($B68, 'Balance Sheet'!$A$11:$F$71, MATCH(DCF!H$60, 'Balance Sheet'!$A$11:$F$11, 0), FALSE)</f>
        <v>500000</v>
      </c>
      <c r="I68" s="94" t="str">
        <f>VLOOKUP($B68, 'Balance Sheet'!$A$11:$F$71, MATCH(DCF!I$60, 'Balance Sheet'!$A$11:$F$11, 0), FALSE)</f>
        <v>-</v>
      </c>
      <c r="J68" s="95">
        <f>VLOOKUP($B68, 'Balance Sheet'!$A$11:$F$71, MATCH(DCF!J$60, 'Balance Sheet'!$A$11:$F$11, 0), FALSE)</f>
        <v>749000</v>
      </c>
      <c r="K68" s="60"/>
      <c r="L68" s="60"/>
      <c r="M68" s="60"/>
      <c r="N68" s="60"/>
      <c r="O68" s="60"/>
    </row>
    <row r="69" spans="1:17" x14ac:dyDescent="0.15">
      <c r="B69" s="23" t="s">
        <v>74</v>
      </c>
      <c r="F69" s="60">
        <f>F67</f>
        <v>5926017</v>
      </c>
      <c r="G69" s="60">
        <f>G67</f>
        <v>6127198</v>
      </c>
      <c r="H69" s="60">
        <f t="shared" ref="H69:J69" si="32">H67-H68</f>
        <v>7378690</v>
      </c>
      <c r="I69" s="60">
        <f>I67</f>
        <v>8060000</v>
      </c>
      <c r="J69" s="111">
        <f t="shared" si="32"/>
        <v>9965000</v>
      </c>
      <c r="K69" s="60"/>
      <c r="L69" s="60"/>
      <c r="M69" s="60"/>
      <c r="N69" s="60"/>
      <c r="O69" s="60"/>
    </row>
    <row r="70" spans="1:17" x14ac:dyDescent="0.15">
      <c r="F70" s="60"/>
      <c r="G70" s="60"/>
      <c r="H70" s="60"/>
      <c r="I70" s="60"/>
      <c r="J70" s="111"/>
      <c r="K70" s="60"/>
      <c r="L70" s="60"/>
      <c r="M70" s="60"/>
      <c r="N70" s="60"/>
      <c r="O70" s="60"/>
    </row>
    <row r="71" spans="1:17" x14ac:dyDescent="0.15">
      <c r="B71" s="24" t="s">
        <v>75</v>
      </c>
      <c r="F71" s="60">
        <f>F65-F69</f>
        <v>-4657294</v>
      </c>
      <c r="G71" s="60">
        <f t="shared" ref="G71:J71" si="33">G65-G69</f>
        <v>-4546071</v>
      </c>
      <c r="H71" s="60">
        <f t="shared" si="33"/>
        <v>-5154338</v>
      </c>
      <c r="I71" s="60">
        <f t="shared" si="33"/>
        <v>-5334000</v>
      </c>
      <c r="J71" s="111">
        <f t="shared" si="33"/>
        <v>-6071000</v>
      </c>
      <c r="K71" s="60">
        <f>K77*K8</f>
        <v>-2896080</v>
      </c>
      <c r="L71" s="60">
        <f t="shared" ref="L71:O71" si="34">L77*L8</f>
        <v>-3861440</v>
      </c>
      <c r="M71" s="60">
        <f t="shared" si="34"/>
        <v>-5985232</v>
      </c>
      <c r="N71" s="60">
        <f t="shared" si="34"/>
        <v>-6464050.5600000005</v>
      </c>
      <c r="O71" s="60">
        <f t="shared" si="34"/>
        <v>-6981174.6048000008</v>
      </c>
    </row>
    <row r="72" spans="1:17" x14ac:dyDescent="0.15">
      <c r="B72" s="24" t="s">
        <v>76</v>
      </c>
      <c r="F72" s="60"/>
      <c r="G72" s="60">
        <f>G71-F71</f>
        <v>111223</v>
      </c>
      <c r="H72" s="60">
        <f t="shared" ref="H72:J72" si="35">H71-G71</f>
        <v>-608267</v>
      </c>
      <c r="I72" s="60">
        <f t="shared" si="35"/>
        <v>-179662</v>
      </c>
      <c r="J72" s="111">
        <f t="shared" si="35"/>
        <v>-737000</v>
      </c>
      <c r="K72" s="60">
        <f t="shared" ref="K72" si="36">K71-J71</f>
        <v>3174920</v>
      </c>
      <c r="L72" s="60">
        <f t="shared" ref="L72" si="37">L71-K71</f>
        <v>-965360</v>
      </c>
      <c r="M72" s="60">
        <f t="shared" ref="M72" si="38">M71-L71</f>
        <v>-2123792</v>
      </c>
      <c r="N72" s="60">
        <f t="shared" ref="N72" si="39">N71-M71</f>
        <v>-478818.56000000052</v>
      </c>
      <c r="O72" s="60">
        <f t="shared" ref="O72" si="40">O71-N71</f>
        <v>-517124.04480000027</v>
      </c>
    </row>
    <row r="75" spans="1:17" x14ac:dyDescent="0.15">
      <c r="F75" s="28" t="s">
        <v>19</v>
      </c>
      <c r="G75" s="29"/>
      <c r="H75" s="29"/>
      <c r="I75" s="29"/>
      <c r="J75" s="30"/>
      <c r="K75" s="28" t="s">
        <v>20</v>
      </c>
      <c r="L75" s="29"/>
      <c r="M75" s="29"/>
      <c r="N75" s="29"/>
      <c r="O75" s="30"/>
    </row>
    <row r="76" spans="1:17" x14ac:dyDescent="0.15">
      <c r="F76" s="61">
        <f>F60</f>
        <v>2015</v>
      </c>
      <c r="G76" s="43">
        <f t="shared" ref="G76:O76" si="41">F76+1</f>
        <v>2016</v>
      </c>
      <c r="H76" s="43">
        <f t="shared" si="41"/>
        <v>2017</v>
      </c>
      <c r="I76" s="43">
        <f t="shared" si="41"/>
        <v>2018</v>
      </c>
      <c r="J76" s="44">
        <f t="shared" si="41"/>
        <v>2019</v>
      </c>
      <c r="K76" s="43">
        <f t="shared" si="41"/>
        <v>2020</v>
      </c>
      <c r="L76" s="43">
        <f t="shared" si="41"/>
        <v>2021</v>
      </c>
      <c r="M76" s="43">
        <f t="shared" si="41"/>
        <v>2022</v>
      </c>
      <c r="N76" s="43">
        <f t="shared" si="41"/>
        <v>2023</v>
      </c>
      <c r="O76" s="43">
        <f t="shared" si="41"/>
        <v>2024</v>
      </c>
    </row>
    <row r="77" spans="1:17" x14ac:dyDescent="0.15">
      <c r="B77" s="23" t="s">
        <v>77</v>
      </c>
      <c r="F77" s="45">
        <f>F71/F8</f>
        <v>-0.69800250797436636</v>
      </c>
      <c r="G77" s="45">
        <f t="shared" ref="G77:J77" si="42">G71/G8</f>
        <v>-0.5181555636911066</v>
      </c>
      <c r="H77" s="45">
        <f t="shared" si="42"/>
        <v>-0.51236758740990418</v>
      </c>
      <c r="I77" s="45">
        <f t="shared" si="42"/>
        <v>-0.475273990911521</v>
      </c>
      <c r="J77" s="46">
        <f t="shared" si="42"/>
        <v>-0.50310764895997351</v>
      </c>
      <c r="K77" s="47">
        <v>-0.6</v>
      </c>
      <c r="L77" s="154">
        <v>-0.5</v>
      </c>
      <c r="M77" s="45">
        <f t="shared" ref="M77:O77" si="43">L77</f>
        <v>-0.5</v>
      </c>
      <c r="N77" s="45">
        <f t="shared" si="43"/>
        <v>-0.5</v>
      </c>
      <c r="O77" s="45">
        <f t="shared" si="43"/>
        <v>-0.5</v>
      </c>
      <c r="Q77" s="97"/>
    </row>
    <row r="80" spans="1:17" x14ac:dyDescent="0.15">
      <c r="A80" s="23" t="s">
        <v>17</v>
      </c>
      <c r="B80" s="62" t="s">
        <v>78</v>
      </c>
      <c r="C80" s="63"/>
      <c r="D80" s="62"/>
      <c r="E80" s="62"/>
      <c r="F80" s="63"/>
      <c r="G80" s="63"/>
      <c r="H80" s="63"/>
      <c r="I80" s="63"/>
      <c r="J80" s="63"/>
      <c r="K80" s="63"/>
      <c r="L80" s="63"/>
      <c r="M80" s="63"/>
      <c r="N80" s="63"/>
      <c r="O80" s="63"/>
    </row>
    <row r="81" spans="2:17" outlineLevel="1" x14ac:dyDescent="0.15"/>
    <row r="82" spans="2:17" outlineLevel="1" x14ac:dyDescent="0.15"/>
    <row r="83" spans="2:17" outlineLevel="1" x14ac:dyDescent="0.15">
      <c r="B83"/>
      <c r="C83"/>
      <c r="D83"/>
      <c r="E83"/>
      <c r="F83" s="64" t="s">
        <v>79</v>
      </c>
      <c r="G83" s="65"/>
      <c r="H83" s="65"/>
      <c r="I83" s="66"/>
      <c r="J83"/>
      <c r="K83" s="64" t="s">
        <v>80</v>
      </c>
      <c r="L83" s="65"/>
      <c r="M83" s="65"/>
      <c r="N83" s="66"/>
      <c r="O83"/>
    </row>
    <row r="84" spans="2:17" outlineLevel="1" x14ac:dyDescent="0.15">
      <c r="F84" s="67" t="s">
        <v>81</v>
      </c>
      <c r="G84" s="68"/>
      <c r="H84" s="68"/>
      <c r="I84" s="126">
        <v>139989.125</v>
      </c>
      <c r="K84" s="67" t="s">
        <v>81</v>
      </c>
      <c r="L84" s="68"/>
      <c r="M84" s="68"/>
      <c r="N84" s="127">
        <f>I84</f>
        <v>139989.125</v>
      </c>
    </row>
    <row r="85" spans="2:17" outlineLevel="1" x14ac:dyDescent="0.15">
      <c r="F85" s="67" t="s">
        <v>469</v>
      </c>
      <c r="G85" s="68"/>
      <c r="H85" s="68"/>
      <c r="I85" s="69">
        <v>4130</v>
      </c>
      <c r="K85" s="67" t="s">
        <v>469</v>
      </c>
      <c r="L85" s="68"/>
      <c r="M85" s="68"/>
      <c r="N85" s="165">
        <v>4130</v>
      </c>
    </row>
    <row r="86" spans="2:17" outlineLevel="1" x14ac:dyDescent="0.15">
      <c r="F86" s="67" t="s">
        <v>82</v>
      </c>
      <c r="G86" s="68"/>
      <c r="H86" s="68"/>
      <c r="I86" s="69">
        <v>7559</v>
      </c>
      <c r="K86" s="67" t="s">
        <v>83</v>
      </c>
      <c r="L86" s="68"/>
      <c r="M86" s="68"/>
      <c r="N86" s="69">
        <v>13115</v>
      </c>
    </row>
    <row r="87" spans="2:17" outlineLevel="1" x14ac:dyDescent="0.15">
      <c r="F87" s="67" t="s">
        <v>84</v>
      </c>
      <c r="G87" s="68"/>
      <c r="H87" s="68"/>
      <c r="I87" s="70">
        <v>98.75</v>
      </c>
      <c r="K87" s="67" t="s">
        <v>84</v>
      </c>
      <c r="L87" s="68"/>
      <c r="M87" s="68"/>
      <c r="N87" s="70">
        <v>102.97</v>
      </c>
    </row>
    <row r="88" spans="2:17" outlineLevel="1" x14ac:dyDescent="0.15">
      <c r="F88" s="67" t="s">
        <v>85</v>
      </c>
      <c r="G88" s="68"/>
      <c r="H88" s="68"/>
      <c r="I88" s="70">
        <v>56.39</v>
      </c>
      <c r="K88" s="67"/>
      <c r="L88" s="68"/>
      <c r="M88" s="68"/>
      <c r="N88" s="70"/>
      <c r="Q88" s="97"/>
    </row>
    <row r="89" spans="2:17" outlineLevel="1" x14ac:dyDescent="0.15">
      <c r="F89" s="67" t="s">
        <v>86</v>
      </c>
      <c r="G89" s="68"/>
      <c r="H89" s="68"/>
      <c r="I89" s="71">
        <f>IF(I88&gt;I87, I86, 0)</f>
        <v>0</v>
      </c>
      <c r="K89" s="67"/>
      <c r="L89" s="68"/>
      <c r="M89" s="68"/>
      <c r="N89" s="71"/>
    </row>
    <row r="90" spans="2:17" outlineLevel="1" x14ac:dyDescent="0.15">
      <c r="F90" s="67" t="s">
        <v>87</v>
      </c>
      <c r="G90" s="68"/>
      <c r="H90" s="68"/>
      <c r="I90" s="122">
        <f>I89*I87</f>
        <v>0</v>
      </c>
      <c r="K90" s="67" t="s">
        <v>87</v>
      </c>
      <c r="L90" s="68"/>
      <c r="M90" s="68"/>
      <c r="N90" s="122">
        <f>N87*N86</f>
        <v>1350451.55</v>
      </c>
    </row>
    <row r="91" spans="2:17" outlineLevel="1" x14ac:dyDescent="0.15">
      <c r="F91" s="67" t="s">
        <v>88</v>
      </c>
      <c r="G91" s="68"/>
      <c r="H91" s="68"/>
      <c r="I91" s="71">
        <f>I90/I88</f>
        <v>0</v>
      </c>
      <c r="K91" s="67"/>
      <c r="L91" s="68"/>
      <c r="M91" s="68"/>
      <c r="N91" s="71"/>
    </row>
    <row r="92" spans="2:17" outlineLevel="1" x14ac:dyDescent="0.15">
      <c r="F92" s="67" t="s">
        <v>89</v>
      </c>
      <c r="G92" s="68"/>
      <c r="H92" s="68"/>
      <c r="I92" s="71">
        <f>I84+I85+I89-I91</f>
        <v>144119.125</v>
      </c>
      <c r="K92" s="67" t="s">
        <v>89</v>
      </c>
      <c r="L92" s="68"/>
      <c r="M92" s="68"/>
      <c r="N92" s="71">
        <f>N84+N86+N85</f>
        <v>157234.125</v>
      </c>
    </row>
    <row r="93" spans="2:17" outlineLevel="1" x14ac:dyDescent="0.15">
      <c r="F93" s="73"/>
      <c r="G93" s="74"/>
      <c r="H93" s="74"/>
      <c r="I93" s="75"/>
      <c r="K93" s="73"/>
      <c r="L93" s="74"/>
      <c r="M93" s="74"/>
      <c r="N93" s="75"/>
    </row>
    <row r="94" spans="2:17" outlineLevel="1" x14ac:dyDescent="0.15"/>
    <row r="96" spans="2:17" hidden="1" outlineLevel="1" x14ac:dyDescent="0.15"/>
    <row r="97" spans="1:15" hidden="1" outlineLevel="1" x14ac:dyDescent="0.15"/>
    <row r="98" spans="1:15" hidden="1" outlineLevel="1" x14ac:dyDescent="0.15">
      <c r="B98"/>
      <c r="C98"/>
      <c r="D98"/>
      <c r="E98"/>
      <c r="F98" s="64" t="s">
        <v>45</v>
      </c>
      <c r="G98" s="65"/>
      <c r="H98" s="65"/>
      <c r="I98" s="66"/>
      <c r="J98"/>
      <c r="K98"/>
      <c r="L98"/>
      <c r="M98"/>
      <c r="N98"/>
      <c r="O98"/>
    </row>
    <row r="99" spans="1:15" hidden="1" outlineLevel="1" x14ac:dyDescent="0.15">
      <c r="F99" s="67" t="s">
        <v>81</v>
      </c>
      <c r="G99" s="68"/>
      <c r="H99" s="68"/>
      <c r="I99" s="69"/>
    </row>
    <row r="100" spans="1:15" hidden="1" outlineLevel="1" x14ac:dyDescent="0.15">
      <c r="F100" s="67" t="s">
        <v>82</v>
      </c>
      <c r="G100" s="68"/>
      <c r="H100" s="68"/>
      <c r="I100" s="69"/>
    </row>
    <row r="101" spans="1:15" hidden="1" outlineLevel="1" x14ac:dyDescent="0.15">
      <c r="F101" s="67" t="s">
        <v>84</v>
      </c>
      <c r="G101" s="68"/>
      <c r="H101" s="68"/>
      <c r="I101" s="70"/>
    </row>
    <row r="102" spans="1:15" hidden="1" outlineLevel="1" x14ac:dyDescent="0.15">
      <c r="F102" s="67" t="s">
        <v>85</v>
      </c>
      <c r="G102" s="68"/>
      <c r="H102" s="68"/>
      <c r="I102" s="70"/>
    </row>
    <row r="103" spans="1:15" hidden="1" outlineLevel="1" x14ac:dyDescent="0.15">
      <c r="F103" s="67" t="s">
        <v>86</v>
      </c>
      <c r="G103" s="68"/>
      <c r="H103" s="68"/>
      <c r="I103" s="71"/>
    </row>
    <row r="104" spans="1:15" hidden="1" outlineLevel="1" x14ac:dyDescent="0.15">
      <c r="F104" s="67" t="s">
        <v>87</v>
      </c>
      <c r="G104" s="68"/>
      <c r="H104" s="68"/>
      <c r="I104" s="72"/>
    </row>
    <row r="105" spans="1:15" hidden="1" outlineLevel="1" x14ac:dyDescent="0.15">
      <c r="F105" s="67" t="s">
        <v>88</v>
      </c>
      <c r="G105" s="68"/>
      <c r="H105" s="68"/>
      <c r="I105" s="71"/>
    </row>
    <row r="106" spans="1:15" hidden="1" outlineLevel="1" x14ac:dyDescent="0.15">
      <c r="F106" s="67" t="s">
        <v>89</v>
      </c>
      <c r="G106" s="68"/>
      <c r="H106" s="68"/>
      <c r="I106" s="71"/>
    </row>
    <row r="107" spans="1:15" hidden="1" outlineLevel="1" x14ac:dyDescent="0.15">
      <c r="F107" s="73"/>
      <c r="G107" s="74"/>
      <c r="H107" s="74"/>
      <c r="I107" s="75"/>
    </row>
    <row r="108" spans="1:15" hidden="1" outlineLevel="1" x14ac:dyDescent="0.15"/>
    <row r="109" spans="1:15" collapsed="1" x14ac:dyDescent="0.15">
      <c r="A109" s="23" t="s">
        <v>17</v>
      </c>
      <c r="B109" s="26" t="s">
        <v>90</v>
      </c>
      <c r="C109" s="27"/>
      <c r="D109" s="26"/>
      <c r="E109" s="26"/>
      <c r="F109" s="27"/>
      <c r="G109" s="27"/>
      <c r="H109" s="27"/>
      <c r="I109" s="27"/>
      <c r="J109" s="27"/>
      <c r="K109" s="27"/>
      <c r="L109" s="27"/>
      <c r="M109" s="27"/>
      <c r="N109" s="27"/>
      <c r="O109" s="27"/>
    </row>
    <row r="110" spans="1:15" x14ac:dyDescent="0.15">
      <c r="B110" s="76"/>
      <c r="C110" s="77"/>
      <c r="D110" s="76"/>
      <c r="E110" s="76"/>
      <c r="F110" s="77"/>
      <c r="G110" s="77"/>
      <c r="H110" s="77"/>
      <c r="I110" s="77"/>
      <c r="J110" s="77"/>
      <c r="K110" s="77"/>
      <c r="L110" s="77"/>
      <c r="M110" s="77"/>
      <c r="N110" s="77"/>
      <c r="O110" s="77"/>
    </row>
    <row r="111" spans="1:15" x14ac:dyDescent="0.15">
      <c r="F111" s="24" t="s">
        <v>91</v>
      </c>
      <c r="G111" s="24" t="s">
        <v>92</v>
      </c>
    </row>
    <row r="112" spans="1:15" x14ac:dyDescent="0.15">
      <c r="B112" s="78" t="s">
        <v>93</v>
      </c>
    </row>
    <row r="113" spans="2:10" x14ac:dyDescent="0.15">
      <c r="B113" s="79" t="s">
        <v>94</v>
      </c>
      <c r="F113" s="113">
        <f>'Balance Sheet'!F54+'Balance Sheet'!F56</f>
        <v>4721000</v>
      </c>
    </row>
    <row r="114" spans="2:10" x14ac:dyDescent="0.15">
      <c r="B114" s="79" t="s">
        <v>95</v>
      </c>
      <c r="F114" s="110">
        <v>66.569999999999993</v>
      </c>
    </row>
    <row r="115" spans="2:10" x14ac:dyDescent="0.15">
      <c r="B115" s="79" t="s">
        <v>96</v>
      </c>
      <c r="F115" s="114">
        <v>139360</v>
      </c>
    </row>
    <row r="116" spans="2:10" x14ac:dyDescent="0.15">
      <c r="B116" s="79" t="s">
        <v>97</v>
      </c>
      <c r="F116" s="115">
        <f>F114*F115</f>
        <v>9277195.1999999993</v>
      </c>
    </row>
    <row r="117" spans="2:10" x14ac:dyDescent="0.15">
      <c r="B117"/>
    </row>
    <row r="118" spans="2:10" x14ac:dyDescent="0.15">
      <c r="B118" s="79" t="s">
        <v>98</v>
      </c>
      <c r="F118" s="45">
        <f>F113/(F113+F116)</f>
        <v>0.33725776305791194</v>
      </c>
      <c r="G118" s="47">
        <v>0.65</v>
      </c>
      <c r="H118" s="97"/>
    </row>
    <row r="119" spans="2:10" x14ac:dyDescent="0.15">
      <c r="B119" s="79" t="s">
        <v>99</v>
      </c>
      <c r="F119" s="45">
        <f>F116/(F113+F116)</f>
        <v>0.66274223694208811</v>
      </c>
      <c r="G119" s="45">
        <f>1-G118</f>
        <v>0.35</v>
      </c>
      <c r="H119" s="97"/>
    </row>
    <row r="120" spans="2:10" x14ac:dyDescent="0.15">
      <c r="B120"/>
    </row>
    <row r="121" spans="2:10" x14ac:dyDescent="0.15">
      <c r="B121" s="78" t="s">
        <v>100</v>
      </c>
    </row>
    <row r="122" spans="2:10" x14ac:dyDescent="0.15">
      <c r="B122" s="79" t="s">
        <v>101</v>
      </c>
      <c r="F122" s="47">
        <v>5.7480000000000003E-2</v>
      </c>
      <c r="G122" s="47">
        <v>5.7480000000000003E-2</v>
      </c>
    </row>
    <row r="123" spans="2:10" x14ac:dyDescent="0.15">
      <c r="B123" s="79" t="s">
        <v>102</v>
      </c>
      <c r="F123" s="47">
        <v>0.21</v>
      </c>
      <c r="G123" s="47">
        <v>0.21</v>
      </c>
    </row>
    <row r="124" spans="2:10" x14ac:dyDescent="0.15">
      <c r="B124"/>
      <c r="F124" s="47"/>
      <c r="G124" s="47"/>
      <c r="J124" s="59"/>
    </row>
    <row r="125" spans="2:10" x14ac:dyDescent="0.15">
      <c r="B125" s="78" t="s">
        <v>103</v>
      </c>
      <c r="F125" s="47"/>
      <c r="G125" s="47"/>
    </row>
    <row r="126" spans="2:10" x14ac:dyDescent="0.15">
      <c r="B126" s="79" t="s">
        <v>104</v>
      </c>
      <c r="F126" s="116">
        <v>7.2899999999999996E-3</v>
      </c>
      <c r="G126" s="116">
        <v>1.4999999999999999E-2</v>
      </c>
    </row>
    <row r="127" spans="2:10" x14ac:dyDescent="0.15">
      <c r="B127" s="79" t="s">
        <v>105</v>
      </c>
      <c r="F127" s="116">
        <v>5.7700000000000001E-2</v>
      </c>
      <c r="G127" s="116">
        <v>5.7700000000000001E-2</v>
      </c>
    </row>
    <row r="128" spans="2:10" x14ac:dyDescent="0.15">
      <c r="B128" s="79" t="s">
        <v>106</v>
      </c>
      <c r="F128" s="80">
        <f>D150</f>
        <v>1.2796017089838461</v>
      </c>
      <c r="G128" s="10">
        <f>D147*(1+(G118/G119)*((1-G123)))</f>
        <v>2.7632000000000008</v>
      </c>
    </row>
    <row r="129" spans="1:15" x14ac:dyDescent="0.15">
      <c r="B129" s="78" t="s">
        <v>103</v>
      </c>
      <c r="F129" s="45">
        <f>F126+(F128*F127)</f>
        <v>8.1123018608367931E-2</v>
      </c>
      <c r="G129" s="45">
        <f>G126+(G128*G127)</f>
        <v>0.17443664000000003</v>
      </c>
      <c r="I129" s="97"/>
    </row>
    <row r="130" spans="1:15" x14ac:dyDescent="0.15">
      <c r="B130"/>
      <c r="F130" s="45"/>
    </row>
    <row r="131" spans="1:15" x14ac:dyDescent="0.15">
      <c r="B131" s="78" t="s">
        <v>107</v>
      </c>
      <c r="F131" s="45">
        <f>(F119*F129)+(F118*F122*(1-F123))</f>
        <v>6.9078256034253743E-2</v>
      </c>
      <c r="G131" s="45">
        <f>(G119*G129)+(G118*G122*(1-G123))</f>
        <v>9.0568804000000017E-2</v>
      </c>
    </row>
    <row r="133" spans="1:15" x14ac:dyDescent="0.15">
      <c r="A133" s="23" t="s">
        <v>17</v>
      </c>
      <c r="B133" s="26" t="s">
        <v>108</v>
      </c>
      <c r="C133" s="27"/>
      <c r="D133" s="26"/>
      <c r="E133" s="26"/>
      <c r="F133" s="27"/>
      <c r="G133" s="27"/>
      <c r="H133" s="27"/>
      <c r="I133" s="27"/>
      <c r="J133" s="27"/>
      <c r="K133" s="27"/>
      <c r="L133" s="27"/>
      <c r="M133" s="27"/>
      <c r="N133" s="27"/>
      <c r="O133" s="27"/>
    </row>
    <row r="134" spans="1:15" x14ac:dyDescent="0.15">
      <c r="B134" s="79"/>
      <c r="C134" s="79"/>
      <c r="D134" s="79"/>
      <c r="E134" s="79"/>
      <c r="F134" s="79"/>
      <c r="G134" s="79"/>
      <c r="H134" s="79"/>
      <c r="I134" s="79"/>
      <c r="J134" s="79"/>
      <c r="K134" s="79"/>
      <c r="L134" s="79"/>
      <c r="M134" s="79"/>
    </row>
    <row r="135" spans="1:15" x14ac:dyDescent="0.15">
      <c r="B135" s="79"/>
      <c r="C135" s="79"/>
      <c r="D135" s="79"/>
      <c r="E135" s="79"/>
      <c r="F135" s="79"/>
      <c r="G135" s="79"/>
      <c r="H135" s="79"/>
      <c r="I135" s="79"/>
      <c r="J135" s="79"/>
      <c r="K135" s="79"/>
      <c r="L135" s="79"/>
      <c r="M135" s="79"/>
    </row>
    <row r="136" spans="1:15" x14ac:dyDescent="0.15">
      <c r="B136" s="79" t="s">
        <v>109</v>
      </c>
      <c r="C136" s="79"/>
      <c r="D136" s="79"/>
      <c r="E136" s="81" t="s">
        <v>110</v>
      </c>
      <c r="F136" s="81" t="s">
        <v>111</v>
      </c>
      <c r="G136" s="81" t="s">
        <v>112</v>
      </c>
      <c r="H136" s="81" t="s">
        <v>113</v>
      </c>
      <c r="I136" s="81" t="s">
        <v>114</v>
      </c>
      <c r="J136" s="79"/>
      <c r="K136" s="81" t="s">
        <v>115</v>
      </c>
    </row>
    <row r="137" spans="1:15" ht="15" thickBot="1" x14ac:dyDescent="0.2">
      <c r="B137" s="82" t="s">
        <v>116</v>
      </c>
      <c r="C137" s="83"/>
      <c r="D137" s="84"/>
      <c r="E137" s="84" t="s">
        <v>117</v>
      </c>
      <c r="F137" s="84" t="s">
        <v>118</v>
      </c>
      <c r="G137" s="84" t="s">
        <v>117</v>
      </c>
      <c r="H137" s="84" t="s">
        <v>106</v>
      </c>
      <c r="I137" s="84" t="s">
        <v>106</v>
      </c>
      <c r="J137" s="79"/>
      <c r="K137" s="84" t="s">
        <v>119</v>
      </c>
    </row>
    <row r="138" spans="1:15" x14ac:dyDescent="0.15">
      <c r="B138" s="79"/>
      <c r="C138" s="79"/>
      <c r="D138" s="79"/>
      <c r="E138" s="79"/>
      <c r="F138" s="79"/>
      <c r="G138" s="79"/>
      <c r="H138" s="79"/>
      <c r="I138" s="79"/>
      <c r="J138" s="79"/>
      <c r="K138" s="79"/>
    </row>
    <row r="139" spans="1:15" x14ac:dyDescent="0.15">
      <c r="B139" s="79" t="s">
        <v>120</v>
      </c>
      <c r="C139" s="79"/>
      <c r="D139" s="79" t="s">
        <v>121</v>
      </c>
      <c r="E139" s="85">
        <v>5221.5</v>
      </c>
      <c r="F139" s="85">
        <f>46.2+764</f>
        <v>810.2</v>
      </c>
      <c r="G139" s="86">
        <f>F139/E139</f>
        <v>0.15516613999808485</v>
      </c>
      <c r="H139" s="87">
        <v>0.94</v>
      </c>
      <c r="I139" s="88">
        <f>H139/(1+(G139*(1-K139)))</f>
        <v>0.83735587023108859</v>
      </c>
      <c r="J139" s="79"/>
      <c r="K139" s="89">
        <v>0.21</v>
      </c>
      <c r="M139" s="97"/>
    </row>
    <row r="140" spans="1:15" x14ac:dyDescent="0.15">
      <c r="B140" s="79" t="s">
        <v>122</v>
      </c>
      <c r="C140" s="79"/>
      <c r="D140" s="79" t="s">
        <v>123</v>
      </c>
      <c r="E140" s="85">
        <v>1358</v>
      </c>
      <c r="F140" s="85">
        <f>8.1614+4.997+326.1821</f>
        <v>339.34050000000002</v>
      </c>
      <c r="G140" s="86">
        <f t="shared" ref="G140:G142" si="44">F140/E140</f>
        <v>0.24988254786450664</v>
      </c>
      <c r="H140" s="87">
        <v>1.17</v>
      </c>
      <c r="I140" s="88">
        <f t="shared" ref="I140:I142" si="45">H140/(1+(G140*(1-K140)))</f>
        <v>0.97711120116891981</v>
      </c>
      <c r="J140" s="79"/>
      <c r="K140" s="90">
        <f>K139</f>
        <v>0.21</v>
      </c>
    </row>
    <row r="141" spans="1:15" x14ac:dyDescent="0.15">
      <c r="B141" s="79" t="s">
        <v>124</v>
      </c>
      <c r="C141" s="79"/>
      <c r="D141" s="79" t="s">
        <v>125</v>
      </c>
      <c r="E141" s="85">
        <v>2269</v>
      </c>
      <c r="F141" s="85">
        <f>0</f>
        <v>0</v>
      </c>
      <c r="G141" s="86">
        <f t="shared" si="44"/>
        <v>0</v>
      </c>
      <c r="H141" s="87">
        <v>1.1299999999999999</v>
      </c>
      <c r="I141" s="88">
        <f t="shared" si="45"/>
        <v>1.1299999999999999</v>
      </c>
      <c r="J141" s="79"/>
      <c r="K141" s="90">
        <f t="shared" ref="K141:K142" si="46">K140</f>
        <v>0.21</v>
      </c>
    </row>
    <row r="142" spans="1:15" x14ac:dyDescent="0.15">
      <c r="B142" s="79" t="s">
        <v>126</v>
      </c>
      <c r="C142" s="79"/>
      <c r="D142" s="79" t="s">
        <v>127</v>
      </c>
      <c r="E142" s="85">
        <v>1303.3</v>
      </c>
      <c r="F142" s="85">
        <f>2414.6</f>
        <v>2414.6</v>
      </c>
      <c r="G142" s="86">
        <f t="shared" si="44"/>
        <v>1.8526816542622573</v>
      </c>
      <c r="H142" s="87">
        <v>1.74</v>
      </c>
      <c r="I142" s="88">
        <f t="shared" si="45"/>
        <v>0.70627818193030223</v>
      </c>
      <c r="J142" s="79"/>
      <c r="K142" s="90">
        <f t="shared" si="46"/>
        <v>0.21</v>
      </c>
    </row>
    <row r="143" spans="1:15" x14ac:dyDescent="0.15">
      <c r="B143" s="79"/>
      <c r="C143" s="79"/>
      <c r="D143" s="79"/>
      <c r="E143" s="85"/>
      <c r="F143" s="85"/>
      <c r="G143" s="86"/>
      <c r="H143" s="87"/>
      <c r="I143" s="88"/>
      <c r="J143" s="79"/>
      <c r="K143" s="90"/>
    </row>
    <row r="144" spans="1:15" x14ac:dyDescent="0.15">
      <c r="B144" s="79"/>
      <c r="C144" s="79"/>
      <c r="D144" s="79"/>
      <c r="E144" s="85"/>
      <c r="F144" s="85"/>
      <c r="G144" s="86"/>
      <c r="H144" s="87"/>
      <c r="I144" s="88"/>
      <c r="J144" s="79"/>
      <c r="K144" s="90"/>
    </row>
    <row r="145" spans="1:15" x14ac:dyDescent="0.15">
      <c r="B145" s="79"/>
      <c r="C145" s="79"/>
      <c r="D145" s="79"/>
      <c r="E145" s="79"/>
      <c r="F145" s="79"/>
      <c r="G145" s="79"/>
      <c r="H145" s="79"/>
      <c r="I145" s="79"/>
      <c r="J145" s="79"/>
      <c r="K145" s="79"/>
      <c r="L145" s="79"/>
      <c r="M145" s="79"/>
    </row>
    <row r="146" spans="1:15" x14ac:dyDescent="0.15">
      <c r="B146" s="79" t="s">
        <v>128</v>
      </c>
      <c r="C146" s="79"/>
      <c r="D146" s="88">
        <f>AVERAGE(I139:I142)</f>
        <v>0.91268631333257755</v>
      </c>
      <c r="E146" s="79"/>
      <c r="F146" s="79"/>
      <c r="G146" s="79"/>
      <c r="H146" s="79"/>
      <c r="I146" s="88"/>
      <c r="J146" s="79"/>
      <c r="K146" s="88"/>
      <c r="L146" s="79"/>
      <c r="M146" s="79"/>
    </row>
    <row r="147" spans="1:15" x14ac:dyDescent="0.15">
      <c r="B147" s="79" t="s">
        <v>129</v>
      </c>
      <c r="C147" s="79"/>
      <c r="D147" s="87">
        <v>1.1200000000000001</v>
      </c>
      <c r="E147" s="79"/>
      <c r="F147" s="79"/>
      <c r="G147" s="79"/>
      <c r="H147" s="79"/>
      <c r="I147" s="88"/>
      <c r="J147" s="79"/>
      <c r="K147" s="88"/>
      <c r="L147" s="79"/>
      <c r="M147" s="79"/>
    </row>
    <row r="148" spans="1:15" x14ac:dyDescent="0.15">
      <c r="B148" s="79" t="s">
        <v>130</v>
      </c>
      <c r="C148" s="79"/>
      <c r="D148" s="88">
        <f>F113/F116</f>
        <v>0.50888225355008165</v>
      </c>
      <c r="E148" s="79"/>
      <c r="F148" s="79"/>
      <c r="G148" s="79"/>
      <c r="H148" s="79"/>
      <c r="I148" s="91"/>
      <c r="J148" s="79"/>
      <c r="K148" s="92"/>
      <c r="L148" s="79"/>
      <c r="M148" s="79"/>
    </row>
    <row r="149" spans="1:15" x14ac:dyDescent="0.15">
      <c r="B149" s="79" t="s">
        <v>131</v>
      </c>
      <c r="C149" s="79"/>
      <c r="D149" s="92">
        <f>K139</f>
        <v>0.21</v>
      </c>
      <c r="E149" s="79"/>
      <c r="F149" s="79"/>
      <c r="G149" s="79"/>
      <c r="H149" s="79"/>
      <c r="I149" s="90"/>
      <c r="J149" s="79"/>
      <c r="L149" s="79"/>
      <c r="M149" s="79"/>
    </row>
    <row r="150" spans="1:15" x14ac:dyDescent="0.15">
      <c r="B150" s="78" t="s">
        <v>132</v>
      </c>
      <c r="C150" s="79"/>
      <c r="D150" s="88">
        <f>D146*(1+(D148*(1-D149)))</f>
        <v>1.2796017089838461</v>
      </c>
      <c r="E150" s="79"/>
      <c r="F150" s="79"/>
      <c r="G150" s="79"/>
      <c r="H150" s="79"/>
      <c r="I150" s="88"/>
      <c r="J150" s="79"/>
      <c r="K150" s="93"/>
      <c r="L150" s="79"/>
      <c r="M150" s="79"/>
    </row>
    <row r="152" spans="1:15" x14ac:dyDescent="0.15">
      <c r="A152" s="23" t="s">
        <v>17</v>
      </c>
      <c r="B152" s="26" t="s">
        <v>133</v>
      </c>
      <c r="C152" s="27"/>
      <c r="D152" s="26"/>
      <c r="E152" s="26"/>
      <c r="F152" s="27"/>
      <c r="G152" s="27"/>
      <c r="H152" s="27"/>
      <c r="I152" s="27"/>
      <c r="J152" s="27"/>
      <c r="K152" s="27"/>
      <c r="L152" s="27"/>
      <c r="M152" s="27"/>
      <c r="N152" s="27"/>
      <c r="O152" s="27"/>
    </row>
    <row r="155" spans="1:15" x14ac:dyDescent="0.15">
      <c r="D155" s="23" t="s">
        <v>561</v>
      </c>
      <c r="F155" s="244">
        <v>1.5</v>
      </c>
    </row>
    <row r="157" spans="1:15" x14ac:dyDescent="0.15">
      <c r="D157" s="158" t="s">
        <v>560</v>
      </c>
      <c r="E157" s="158"/>
      <c r="F157" s="158"/>
      <c r="G157" s="158"/>
      <c r="H157" s="158"/>
      <c r="I157" s="158"/>
      <c r="J157" s="158"/>
      <c r="K157" s="158"/>
      <c r="L157" s="158"/>
      <c r="M157" s="158"/>
      <c r="N157" s="158"/>
    </row>
    <row r="158" spans="1:15" x14ac:dyDescent="0.15">
      <c r="D158" s="247">
        <f>E158-$F$155</f>
        <v>15.32</v>
      </c>
      <c r="E158" s="243">
        <f>F158-$F$155</f>
        <v>16.82</v>
      </c>
      <c r="F158" s="243">
        <f>G158-$F$155</f>
        <v>18.32</v>
      </c>
      <c r="G158" s="243">
        <f>H158-$F$155</f>
        <v>19.82</v>
      </c>
      <c r="H158" s="243">
        <f>I158-$F$155</f>
        <v>21.32</v>
      </c>
      <c r="I158" s="244">
        <v>22.82</v>
      </c>
      <c r="J158" s="243">
        <f>I158+$F$155</f>
        <v>24.32</v>
      </c>
      <c r="K158" s="243">
        <f>J158+$F$155</f>
        <v>25.82</v>
      </c>
      <c r="L158" s="243">
        <f>K158+$F$155</f>
        <v>27.32</v>
      </c>
      <c r="M158" s="243">
        <f>L158+$F$155</f>
        <v>28.82</v>
      </c>
      <c r="N158" s="243">
        <f>M158+$F$155</f>
        <v>30.32</v>
      </c>
    </row>
    <row r="159" spans="1:15" x14ac:dyDescent="0.15">
      <c r="C159" s="246">
        <f>N52</f>
        <v>368.99427297826486</v>
      </c>
      <c r="D159" s="248">
        <f t="dataTable" ref="D159:N159" dt2D="0" dtr="1" r1="N42"/>
        <v>261.08637373125765</v>
      </c>
      <c r="E159" s="246">
        <v>282.66795358065906</v>
      </c>
      <c r="F159" s="246">
        <v>304.24953343006058</v>
      </c>
      <c r="G159" s="246">
        <v>325.83111327946199</v>
      </c>
      <c r="H159" s="246">
        <v>347.4126931288634</v>
      </c>
      <c r="I159" s="246">
        <v>368.99427297826486</v>
      </c>
      <c r="J159" s="246">
        <v>390.57585282766627</v>
      </c>
      <c r="K159" s="246">
        <v>412.15743267706767</v>
      </c>
      <c r="L159" s="246">
        <v>433.7390125264692</v>
      </c>
      <c r="M159" s="246">
        <v>455.32059237587072</v>
      </c>
      <c r="N159" s="246">
        <v>476.90217222527201</v>
      </c>
    </row>
    <row r="163" spans="2:12" x14ac:dyDescent="0.15">
      <c r="H163" s="23" t="s">
        <v>134</v>
      </c>
      <c r="I163" s="89">
        <v>5.0000000000000001E-3</v>
      </c>
    </row>
    <row r="164" spans="2:12" x14ac:dyDescent="0.15">
      <c r="H164" s="23" t="s">
        <v>135</v>
      </c>
      <c r="I164" s="89">
        <v>0.01</v>
      </c>
    </row>
    <row r="166" spans="2:12" x14ac:dyDescent="0.15">
      <c r="C166" s="158"/>
      <c r="D166" s="158" t="s">
        <v>90</v>
      </c>
      <c r="E166" s="158"/>
      <c r="F166" s="158"/>
      <c r="G166" s="158"/>
      <c r="H166" s="159"/>
      <c r="I166" s="158"/>
      <c r="J166" s="158"/>
      <c r="K166" s="158"/>
      <c r="L166" s="158"/>
    </row>
    <row r="167" spans="2:12" x14ac:dyDescent="0.15">
      <c r="C167" s="166">
        <f>I52</f>
        <v>230.17352990776817</v>
      </c>
      <c r="D167" s="157">
        <f>E167-$I$164</f>
        <v>2.9078256034253736E-2</v>
      </c>
      <c r="E167" s="157">
        <f>F167-$I$164</f>
        <v>3.9078256034253737E-2</v>
      </c>
      <c r="F167" s="157">
        <f>G167-$I$164</f>
        <v>4.9078256034253739E-2</v>
      </c>
      <c r="G167" s="157">
        <f>H167-$I$164</f>
        <v>5.9078256034253741E-2</v>
      </c>
      <c r="H167" s="89">
        <f>I44</f>
        <v>6.9078256034253743E-2</v>
      </c>
      <c r="I167" s="157">
        <f>H167+$I$164</f>
        <v>7.9078256034253738E-2</v>
      </c>
      <c r="J167" s="157">
        <f>I167+$I$164</f>
        <v>8.9078256034253733E-2</v>
      </c>
      <c r="K167" s="157">
        <f>J167+$I$164</f>
        <v>9.9078256034253728E-2</v>
      </c>
      <c r="L167" s="157">
        <f>K167+$I$164</f>
        <v>0.10907825603425372</v>
      </c>
    </row>
    <row r="168" spans="2:12" x14ac:dyDescent="0.15">
      <c r="C168" s="89">
        <v>1.4999999999999999E-2</v>
      </c>
      <c r="D168" s="163">
        <f t="dataTable" ref="D168:L174" dt2D="1" dtr="1" r1="I44" r2="I42" ca="1"/>
        <v>213.13575804461388</v>
      </c>
      <c r="E168" s="161">
        <v>245.98286554365455</v>
      </c>
      <c r="F168" s="161">
        <v>271.25619263663401</v>
      </c>
      <c r="G168" s="161">
        <v>285.05308213307256</v>
      </c>
      <c r="H168" s="161">
        <v>285.05308213307256</v>
      </c>
      <c r="I168" s="161">
        <v>271.25619263663401</v>
      </c>
      <c r="J168" s="161">
        <v>245.98286554365455</v>
      </c>
      <c r="K168" s="161">
        <v>213.13575804461388</v>
      </c>
      <c r="L168" s="161">
        <v>177.08376575347884</v>
      </c>
    </row>
    <row r="169" spans="2:12" x14ac:dyDescent="0.15">
      <c r="B169" s="156" t="s">
        <v>136</v>
      </c>
      <c r="C169" s="157">
        <f t="shared" ref="C169:C174" si="47">C168+$I$163</f>
        <v>0.02</v>
      </c>
      <c r="D169" s="164">
        <v>225.78238099701287</v>
      </c>
      <c r="E169" s="162">
        <v>260.64573758106792</v>
      </c>
      <c r="F169" s="162">
        <v>287.47913226091703</v>
      </c>
      <c r="G169" s="162">
        <v>302.13050508160984</v>
      </c>
      <c r="H169" s="162">
        <v>302.13050508160984</v>
      </c>
      <c r="I169" s="162">
        <v>287.47913226091703</v>
      </c>
      <c r="J169" s="162">
        <v>260.64573758106792</v>
      </c>
      <c r="K169" s="162">
        <v>225.78238099701287</v>
      </c>
      <c r="L169" s="162">
        <v>187.53503646899196</v>
      </c>
    </row>
    <row r="170" spans="2:12" x14ac:dyDescent="0.15">
      <c r="C170" s="157">
        <f t="shared" si="47"/>
        <v>2.5000000000000001E-2</v>
      </c>
      <c r="D170" s="164">
        <v>240.35776003170952</v>
      </c>
      <c r="E170" s="162">
        <v>277.54486697608291</v>
      </c>
      <c r="F170" s="162">
        <v>306.17625757025286</v>
      </c>
      <c r="G170" s="162">
        <v>321.81243229234724</v>
      </c>
      <c r="H170" s="162">
        <v>321.81243229234724</v>
      </c>
      <c r="I170" s="162">
        <v>306.17625757025286</v>
      </c>
      <c r="J170" s="162">
        <v>277.54486697608291</v>
      </c>
      <c r="K170" s="162">
        <v>240.35776003170952</v>
      </c>
      <c r="L170" s="162">
        <v>199.58024669200515</v>
      </c>
    </row>
    <row r="171" spans="2:12" x14ac:dyDescent="0.15">
      <c r="C171" s="157">
        <f t="shared" si="47"/>
        <v>3.0000000000000002E-2</v>
      </c>
      <c r="D171" s="164">
        <v>257.3395559133852</v>
      </c>
      <c r="E171" s="162">
        <v>297.23406787309</v>
      </c>
      <c r="F171" s="162">
        <v>327.96030619234477</v>
      </c>
      <c r="G171" s="162">
        <v>344.74387508056532</v>
      </c>
      <c r="H171" s="162">
        <v>344.74387508056532</v>
      </c>
      <c r="I171" s="162">
        <v>327.96030619234477</v>
      </c>
      <c r="J171" s="162">
        <v>297.23406787309</v>
      </c>
      <c r="K171" s="162">
        <v>257.3395559133852</v>
      </c>
      <c r="L171" s="162">
        <v>213.61413911237742</v>
      </c>
    </row>
    <row r="172" spans="2:12" x14ac:dyDescent="0.15">
      <c r="C172" s="157">
        <f t="shared" si="47"/>
        <v>3.5000000000000003E-2</v>
      </c>
      <c r="D172" s="164">
        <v>277.37734628464449</v>
      </c>
      <c r="E172" s="162">
        <v>320.46647997489589</v>
      </c>
      <c r="F172" s="162">
        <v>353.66454870993448</v>
      </c>
      <c r="G172" s="162">
        <v>371.80199347407768</v>
      </c>
      <c r="H172" s="162">
        <v>371.80199347407768</v>
      </c>
      <c r="I172" s="162">
        <v>353.66454870993448</v>
      </c>
      <c r="J172" s="162">
        <v>320.46647997489589</v>
      </c>
      <c r="K172" s="162">
        <v>277.37734628464449</v>
      </c>
      <c r="L172" s="162">
        <v>230.17352990776817</v>
      </c>
    </row>
    <row r="173" spans="2:12" x14ac:dyDescent="0.15">
      <c r="C173" s="157">
        <f t="shared" si="47"/>
        <v>0.04</v>
      </c>
      <c r="D173" s="164">
        <v>301.37761723409972</v>
      </c>
      <c r="E173" s="162">
        <v>348.29311030298339</v>
      </c>
      <c r="F173" s="162">
        <v>384.45181484769722</v>
      </c>
      <c r="G173" s="162">
        <v>404.21086495115372</v>
      </c>
      <c r="H173" s="162">
        <v>404.21086495115372</v>
      </c>
      <c r="I173" s="162">
        <v>384.45181484769722</v>
      </c>
      <c r="J173" s="162">
        <v>348.29311030298339</v>
      </c>
      <c r="K173" s="162">
        <v>301.37761723409972</v>
      </c>
      <c r="L173" s="162">
        <v>250.00754645768359</v>
      </c>
    </row>
    <row r="174" spans="2:12" x14ac:dyDescent="0.15">
      <c r="C174" s="157">
        <f t="shared" si="47"/>
        <v>4.4999999999999998E-2</v>
      </c>
      <c r="D174" s="164">
        <v>330.64470864903285</v>
      </c>
      <c r="E174" s="162">
        <v>382.22624944532186</v>
      </c>
      <c r="F174" s="162">
        <v>421.99529651785861</v>
      </c>
      <c r="G174" s="162">
        <v>443.73181061764143</v>
      </c>
      <c r="H174" s="162">
        <v>443.73181061764143</v>
      </c>
      <c r="I174" s="162">
        <v>421.99529651785861</v>
      </c>
      <c r="J174" s="162">
        <v>382.22624944532186</v>
      </c>
      <c r="K174" s="162">
        <v>330.64470864903285</v>
      </c>
      <c r="L174" s="162">
        <v>274.19410571420929</v>
      </c>
    </row>
    <row r="177" spans="4:13" x14ac:dyDescent="0.15">
      <c r="D177" s="309" t="s">
        <v>466</v>
      </c>
      <c r="E177" s="310"/>
      <c r="F177" s="310"/>
      <c r="G177" s="310"/>
      <c r="H177" s="311"/>
    </row>
    <row r="178" spans="4:13" x14ac:dyDescent="0.15">
      <c r="D178" s="264"/>
      <c r="E178" s="160"/>
      <c r="F178" s="160" t="s">
        <v>562</v>
      </c>
      <c r="G178" s="160" t="s">
        <v>563</v>
      </c>
      <c r="H178" s="324" t="s">
        <v>564</v>
      </c>
      <c r="I178" s="291"/>
      <c r="J178" s="291"/>
      <c r="K178" s="291"/>
      <c r="L178" s="291"/>
      <c r="M178" s="291"/>
    </row>
    <row r="179" spans="4:13" x14ac:dyDescent="0.15">
      <c r="D179" s="312"/>
      <c r="E179" s="306"/>
      <c r="F179" s="302"/>
      <c r="G179" s="302"/>
      <c r="H179" s="313"/>
      <c r="I179" s="291"/>
      <c r="J179" s="291"/>
      <c r="K179" s="291"/>
      <c r="L179" s="291"/>
      <c r="M179" s="291"/>
    </row>
    <row r="180" spans="4:13" x14ac:dyDescent="0.15">
      <c r="D180" s="314" t="s">
        <v>467</v>
      </c>
      <c r="E180" s="307"/>
      <c r="F180" s="308"/>
      <c r="G180" s="308"/>
      <c r="H180" s="315"/>
      <c r="I180" s="292"/>
      <c r="J180" s="292"/>
      <c r="K180" s="293"/>
      <c r="L180" s="293"/>
      <c r="M180" s="293"/>
    </row>
    <row r="181" spans="4:13" x14ac:dyDescent="0.15">
      <c r="D181" s="316" t="str">
        <f>B28</f>
        <v>Sales Growth</v>
      </c>
      <c r="E181" s="306"/>
      <c r="F181" s="305">
        <v>-0.7</v>
      </c>
      <c r="G181" s="305">
        <v>-0.6</v>
      </c>
      <c r="H181" s="317">
        <v>-0.5</v>
      </c>
      <c r="I181" s="304"/>
      <c r="J181" s="295"/>
      <c r="K181" s="296"/>
      <c r="L181" s="296"/>
      <c r="M181" s="296"/>
    </row>
    <row r="182" spans="4:13" x14ac:dyDescent="0.15">
      <c r="D182" s="318" t="str">
        <f>B29</f>
        <v>COGS (as % of revenues)</v>
      </c>
      <c r="E182" s="306"/>
      <c r="F182" s="305">
        <v>0.185</v>
      </c>
      <c r="G182" s="305">
        <v>0.16500000000000001</v>
      </c>
      <c r="H182" s="317">
        <v>0.14499999999999999</v>
      </c>
      <c r="I182" s="295"/>
      <c r="J182" s="304"/>
      <c r="K182" s="296"/>
      <c r="L182" s="296"/>
      <c r="M182" s="296"/>
    </row>
    <row r="183" spans="4:13" x14ac:dyDescent="0.15">
      <c r="D183" s="318" t="str">
        <f>B31</f>
        <v>Selling &amp; marketing expenses (as % of revenues)</v>
      </c>
      <c r="E183" s="306"/>
      <c r="F183" s="305">
        <v>0.32</v>
      </c>
      <c r="G183" s="305">
        <v>0.26</v>
      </c>
      <c r="H183" s="317">
        <v>0.2</v>
      </c>
      <c r="I183" s="295"/>
      <c r="J183" s="304"/>
      <c r="K183" s="296"/>
      <c r="L183" s="296"/>
      <c r="M183" s="296"/>
    </row>
    <row r="184" spans="4:13" x14ac:dyDescent="0.15">
      <c r="D184" s="318" t="str">
        <f>B33</f>
        <v>Capex (as % of revenues)</v>
      </c>
      <c r="E184" s="306"/>
      <c r="F184" s="305">
        <v>0.12</v>
      </c>
      <c r="G184" s="305">
        <v>0.06</v>
      </c>
      <c r="H184" s="317">
        <v>7.0000000000000007E-2</v>
      </c>
      <c r="I184" s="295"/>
      <c r="J184" s="304"/>
      <c r="K184" s="296"/>
      <c r="L184" s="296"/>
      <c r="M184" s="296"/>
    </row>
    <row r="185" spans="4:13" x14ac:dyDescent="0.15">
      <c r="D185" s="318" t="str">
        <f>F42</f>
        <v>Terminal growth rate</v>
      </c>
      <c r="E185" s="306"/>
      <c r="F185" s="305">
        <v>1.4999999999999999E-2</v>
      </c>
      <c r="G185" s="305">
        <v>3.5000000000000003E-2</v>
      </c>
      <c r="H185" s="317">
        <v>4.4999999999999998E-2</v>
      </c>
      <c r="I185" s="295"/>
      <c r="J185" s="304"/>
      <c r="K185" s="296"/>
      <c r="L185" s="296"/>
      <c r="M185" s="296"/>
    </row>
    <row r="186" spans="4:13" x14ac:dyDescent="0.15">
      <c r="D186" s="314" t="s">
        <v>468</v>
      </c>
      <c r="E186" s="307"/>
      <c r="F186" s="308"/>
      <c r="G186" s="308"/>
      <c r="H186" s="315"/>
      <c r="I186" s="292"/>
      <c r="J186" s="292"/>
      <c r="K186" s="293"/>
      <c r="L186" s="293"/>
      <c r="M186" s="293"/>
    </row>
    <row r="187" spans="4:13" x14ac:dyDescent="0.15">
      <c r="D187" s="318" t="str">
        <f>F39</f>
        <v>Terminal Value - Perpetuity Growth</v>
      </c>
      <c r="E187" s="306"/>
      <c r="F187" s="297">
        <v>118.619402324795</v>
      </c>
      <c r="G187" s="297">
        <v>230.173529907768</v>
      </c>
      <c r="H187" s="319">
        <v>358.42780548491402</v>
      </c>
      <c r="I187" s="295"/>
      <c r="J187" s="295"/>
      <c r="K187" s="297"/>
      <c r="L187" s="297"/>
      <c r="M187" s="297"/>
    </row>
    <row r="188" spans="4:13" x14ac:dyDescent="0.15">
      <c r="D188" s="318" t="str">
        <f>K39</f>
        <v>Terminal Value - Exit Multiple</v>
      </c>
      <c r="E188" s="306"/>
      <c r="F188" s="297">
        <v>264.78313580663001</v>
      </c>
      <c r="G188" s="297">
        <v>368.99427297826497</v>
      </c>
      <c r="H188" s="319">
        <v>474.57273355723498</v>
      </c>
      <c r="I188" s="295"/>
      <c r="J188" s="295"/>
      <c r="K188" s="297"/>
      <c r="L188" s="297"/>
      <c r="M188" s="297"/>
    </row>
    <row r="189" spans="4:13" x14ac:dyDescent="0.15">
      <c r="D189" s="320" t="str">
        <f>P46</f>
        <v>Treasury Outstanding Options</v>
      </c>
      <c r="E189" s="321"/>
      <c r="F189" s="322">
        <v>117.314075561347</v>
      </c>
      <c r="G189" s="322">
        <v>219.563401255732</v>
      </c>
      <c r="H189" s="323">
        <v>337.11990480537202</v>
      </c>
      <c r="I189" s="295"/>
      <c r="J189" s="295"/>
      <c r="K189" s="298"/>
      <c r="L189" s="298"/>
      <c r="M189" s="298"/>
    </row>
    <row r="191" spans="4:13" x14ac:dyDescent="0.15">
      <c r="D191" s="291"/>
      <c r="E191" s="291"/>
      <c r="F191" s="291"/>
      <c r="G191" s="291"/>
      <c r="H191" s="291"/>
    </row>
    <row r="192" spans="4:13" x14ac:dyDescent="0.15">
      <c r="D192" s="291"/>
      <c r="E192" s="291"/>
      <c r="F192" s="291"/>
      <c r="G192" s="291"/>
      <c r="H192" s="291"/>
    </row>
    <row r="193" spans="4:8" x14ac:dyDescent="0.15">
      <c r="D193" s="292"/>
      <c r="E193" s="292"/>
      <c r="F193" s="293"/>
      <c r="G193" s="293"/>
      <c r="H193" s="293"/>
    </row>
    <row r="194" spans="4:8" x14ac:dyDescent="0.15">
      <c r="D194" s="294"/>
      <c r="E194" s="295"/>
      <c r="F194" s="296"/>
      <c r="G194" s="296"/>
      <c r="H194" s="296"/>
    </row>
    <row r="195" spans="4:8" x14ac:dyDescent="0.15">
      <c r="D195" s="294"/>
      <c r="E195" s="295"/>
      <c r="F195" s="296"/>
      <c r="G195" s="296"/>
      <c r="H195" s="296"/>
    </row>
    <row r="196" spans="4:8" x14ac:dyDescent="0.15">
      <c r="D196" s="294"/>
      <c r="E196" s="295"/>
      <c r="F196" s="296"/>
      <c r="G196" s="296"/>
      <c r="H196" s="296"/>
    </row>
    <row r="197" spans="4:8" x14ac:dyDescent="0.15">
      <c r="D197" s="294"/>
      <c r="E197" s="295"/>
      <c r="F197" s="296"/>
      <c r="G197" s="296"/>
      <c r="H197" s="296"/>
    </row>
    <row r="198" spans="4:8" x14ac:dyDescent="0.15">
      <c r="D198" s="294"/>
      <c r="E198" s="295"/>
      <c r="F198" s="296"/>
      <c r="G198" s="296"/>
      <c r="H198" s="296"/>
    </row>
    <row r="199" spans="4:8" x14ac:dyDescent="0.15">
      <c r="D199" s="292"/>
      <c r="E199" s="292"/>
      <c r="F199" s="293"/>
      <c r="G199" s="293"/>
      <c r="H199" s="293"/>
    </row>
    <row r="200" spans="4:8" x14ac:dyDescent="0.15">
      <c r="D200" s="294"/>
      <c r="E200" s="295"/>
      <c r="F200" s="297"/>
      <c r="G200" s="297"/>
      <c r="H200" s="297"/>
    </row>
    <row r="201" spans="4:8" x14ac:dyDescent="0.15">
      <c r="D201" s="294"/>
      <c r="E201" s="295"/>
      <c r="F201" s="297"/>
      <c r="G201" s="297"/>
      <c r="H201" s="297"/>
    </row>
    <row r="202" spans="4:8" x14ac:dyDescent="0.15">
      <c r="D202" s="294"/>
      <c r="E202" s="295"/>
      <c r="F202" s="298"/>
      <c r="G202" s="298"/>
      <c r="H202" s="298"/>
    </row>
    <row r="203" spans="4:8" x14ac:dyDescent="0.15">
      <c r="D203" s="294"/>
      <c r="E203" s="294"/>
      <c r="F203" s="294"/>
      <c r="G203" s="294"/>
      <c r="H203" s="294"/>
    </row>
    <row r="204" spans="4:8" x14ac:dyDescent="0.15">
      <c r="D204" s="294"/>
      <c r="E204" s="294"/>
      <c r="F204" s="294"/>
      <c r="G204" s="294"/>
      <c r="H204" s="294"/>
    </row>
    <row r="205" spans="4:8" x14ac:dyDescent="0.15">
      <c r="D205" s="294"/>
      <c r="E205" s="294"/>
      <c r="F205" s="294"/>
      <c r="G205" s="294"/>
      <c r="H205" s="294"/>
    </row>
    <row r="206" spans="4:8" x14ac:dyDescent="0.15">
      <c r="D206" s="299"/>
      <c r="E206" s="299"/>
      <c r="F206" s="300"/>
      <c r="G206" s="300"/>
      <c r="H206" s="300"/>
    </row>
    <row r="207" spans="4:8" x14ac:dyDescent="0.15">
      <c r="D207" s="299"/>
      <c r="E207" s="299"/>
      <c r="F207" s="300"/>
      <c r="G207" s="300"/>
      <c r="H207" s="300"/>
    </row>
    <row r="208" spans="4:8" x14ac:dyDescent="0.15">
      <c r="D208" s="301"/>
      <c r="E208" s="301"/>
      <c r="F208" s="302"/>
      <c r="G208" s="302"/>
      <c r="H208" s="302"/>
    </row>
    <row r="209" spans="4:8" x14ac:dyDescent="0.15">
      <c r="D209" s="303"/>
      <c r="E209" s="303"/>
      <c r="F209" s="293"/>
      <c r="G209" s="293"/>
      <c r="H209" s="293"/>
    </row>
    <row r="210" spans="4:8" x14ac:dyDescent="0.15">
      <c r="D210" s="304"/>
      <c r="E210" s="295"/>
      <c r="F210" s="305"/>
      <c r="G210" s="305"/>
      <c r="H210" s="305"/>
    </row>
    <row r="211" spans="4:8" x14ac:dyDescent="0.15">
      <c r="D211" s="295"/>
      <c r="E211" s="295"/>
      <c r="F211" s="305"/>
      <c r="G211" s="305"/>
      <c r="H211" s="305"/>
    </row>
    <row r="212" spans="4:8" x14ac:dyDescent="0.15">
      <c r="D212" s="295"/>
      <c r="E212" s="295"/>
      <c r="F212" s="305"/>
      <c r="G212" s="305"/>
      <c r="H212" s="305"/>
    </row>
    <row r="213" spans="4:8" x14ac:dyDescent="0.15">
      <c r="D213" s="295"/>
      <c r="E213" s="295"/>
      <c r="F213" s="305"/>
      <c r="G213" s="305"/>
      <c r="H213" s="305"/>
    </row>
    <row r="214" spans="4:8" x14ac:dyDescent="0.15">
      <c r="D214" s="295"/>
      <c r="E214" s="295"/>
      <c r="F214" s="305"/>
      <c r="G214" s="305"/>
      <c r="H214" s="305"/>
    </row>
    <row r="215" spans="4:8" x14ac:dyDescent="0.15">
      <c r="D215" s="303"/>
      <c r="E215" s="303"/>
      <c r="F215" s="293"/>
      <c r="G215" s="293"/>
      <c r="H215" s="293"/>
    </row>
    <row r="216" spans="4:8" x14ac:dyDescent="0.15">
      <c r="D216" s="301"/>
      <c r="E216" s="301"/>
      <c r="F216" s="297"/>
      <c r="G216" s="297"/>
      <c r="H216" s="297"/>
    </row>
    <row r="217" spans="4:8" x14ac:dyDescent="0.15">
      <c r="D217" s="301"/>
      <c r="E217" s="301"/>
      <c r="F217" s="297"/>
      <c r="G217" s="297"/>
      <c r="H217" s="297"/>
    </row>
    <row r="218" spans="4:8" x14ac:dyDescent="0.15">
      <c r="D218" s="301"/>
      <c r="E218" s="301"/>
      <c r="F218" s="298"/>
      <c r="G218" s="298"/>
      <c r="H218" s="298"/>
    </row>
  </sheetData>
  <scenarios current="2" sqref="I52 N52 S50">
    <scenario name="Worst Case" locked="1" count="5" user="Justin Sandhu" comment="Created by Coleman on 4/29/2020_x000a_Modified by Justin Sandhu on 4/29/2020">
      <inputCells r="K28" val="-0.7" numFmtId="171"/>
      <inputCells r="K29" val="0.185" numFmtId="171"/>
      <inputCells r="K31" val="0.32" numFmtId="171"/>
      <inputCells r="K33" val="0.12" numFmtId="171"/>
      <inputCells r="I42" val="0.015" numFmtId="171"/>
    </scenario>
    <scenario name="Base Case" locked="1" count="5" user="Coleman" comment="Created by Coleman on 4/29/2020">
      <inputCells r="K28" val="-0.6" numFmtId="171"/>
      <inputCells r="K29" val="0.165" numFmtId="171"/>
      <inputCells r="K31" val="0.26" numFmtId="171"/>
      <inputCells r="K33" val="0.06" numFmtId="171"/>
      <inputCells r="I42" val="0.035" numFmtId="171"/>
    </scenario>
    <scenario name="Best Case" locked="1" count="5" user="Justin Sandhu" comment="Created by Coleman on 4/29/2020_x000a_Modified by Justin Sandhu on 4/29/2020">
      <inputCells r="K28" val="-0.5" numFmtId="171"/>
      <inputCells r="K29" val="0.145" numFmtId="171"/>
      <inputCells r="K31" val="0.2" numFmtId="171"/>
      <inputCells r="K33" val="0.07" numFmtId="171"/>
      <inputCells r="I42" val="0.045" numFmtId="171"/>
    </scenario>
  </scenarios>
  <pageMargins left="0.7" right="0.7" top="0.75" bottom="0.75" header="0.3" footer="0.3"/>
  <pageSetup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H30"/>
  <sheetViews>
    <sheetView zoomScale="110" workbookViewId="0">
      <selection activeCell="D18" sqref="D18"/>
    </sheetView>
  </sheetViews>
  <sheetFormatPr baseColWidth="10" defaultColWidth="10.1640625" defaultRowHeight="13" x14ac:dyDescent="0.15"/>
  <cols>
    <col min="1" max="1" width="3.1640625" customWidth="1"/>
    <col min="2" max="2" width="13.1640625" customWidth="1"/>
    <col min="3" max="3" width="19.1640625" customWidth="1"/>
    <col min="5" max="5" width="13.1640625" bestFit="1" customWidth="1"/>
  </cols>
  <sheetData>
    <row r="2" spans="2:8" s="129" customFormat="1" ht="19" x14ac:dyDescent="0.25">
      <c r="B2" s="128" t="s">
        <v>137</v>
      </c>
      <c r="C2" s="128"/>
    </row>
    <row r="3" spans="2:8" ht="14" x14ac:dyDescent="0.2">
      <c r="B3" s="130" t="s">
        <v>138</v>
      </c>
      <c r="C3" s="130"/>
      <c r="E3" s="148">
        <f ca="1">DCF!S44</f>
        <v>379.34233790206832</v>
      </c>
    </row>
    <row r="4" spans="2:8" ht="14" x14ac:dyDescent="0.2">
      <c r="B4" s="130" t="s">
        <v>139</v>
      </c>
      <c r="C4" s="130"/>
      <c r="E4" s="150">
        <f>DCF!N87</f>
        <v>102.97</v>
      </c>
    </row>
    <row r="5" spans="2:8" ht="14" x14ac:dyDescent="0.2">
      <c r="B5" s="130" t="s">
        <v>140</v>
      </c>
      <c r="C5" s="130"/>
      <c r="E5" s="149">
        <v>3.3</v>
      </c>
    </row>
    <row r="6" spans="2:8" ht="14" x14ac:dyDescent="0.2">
      <c r="B6" s="130" t="s">
        <v>141</v>
      </c>
      <c r="C6" s="130"/>
      <c r="E6" s="131">
        <v>0.3281</v>
      </c>
      <c r="F6" s="130" t="s">
        <v>142</v>
      </c>
    </row>
    <row r="7" spans="2:8" ht="14" x14ac:dyDescent="0.2">
      <c r="B7" s="130" t="s">
        <v>143</v>
      </c>
      <c r="C7" s="130"/>
      <c r="E7" s="132">
        <v>1.11E-2</v>
      </c>
    </row>
    <row r="8" spans="2:8" ht="14" x14ac:dyDescent="0.2">
      <c r="B8" s="130" t="s">
        <v>144</v>
      </c>
      <c r="C8" s="130"/>
      <c r="E8" s="151">
        <v>6.3E-3</v>
      </c>
    </row>
    <row r="9" spans="2:8" ht="14" x14ac:dyDescent="0.2">
      <c r="B9" s="130" t="s">
        <v>145</v>
      </c>
      <c r="C9" s="130"/>
      <c r="E9" s="152">
        <f>DCF!N86</f>
        <v>13115</v>
      </c>
    </row>
    <row r="10" spans="2:8" ht="14" x14ac:dyDescent="0.2">
      <c r="B10" s="130" t="s">
        <v>146</v>
      </c>
      <c r="C10" s="130"/>
      <c r="E10" s="153">
        <f>DCF!I84</f>
        <v>139989.125</v>
      </c>
    </row>
    <row r="11" spans="2:8" ht="14" x14ac:dyDescent="0.2">
      <c r="B11" s="130"/>
      <c r="C11" s="130"/>
      <c r="E11" s="133"/>
    </row>
    <row r="12" spans="2:8" ht="14" x14ac:dyDescent="0.2">
      <c r="B12" s="130" t="s">
        <v>147</v>
      </c>
      <c r="C12" s="134" t="s">
        <v>148</v>
      </c>
      <c r="E12" s="133"/>
    </row>
    <row r="13" spans="2:8" ht="14" x14ac:dyDescent="0.2">
      <c r="B13" s="130"/>
      <c r="C13" s="130"/>
    </row>
    <row r="14" spans="2:8" s="137" customFormat="1" ht="14" x14ac:dyDescent="0.2">
      <c r="B14" s="135" t="s">
        <v>149</v>
      </c>
      <c r="C14" s="136"/>
    </row>
    <row r="15" spans="2:8" s="130" customFormat="1" ht="14" x14ac:dyDescent="0.2">
      <c r="B15" s="138" t="s">
        <v>150</v>
      </c>
    </row>
    <row r="16" spans="2:8" s="130" customFormat="1" ht="14" x14ac:dyDescent="0.2">
      <c r="B16" s="130" t="s">
        <v>151</v>
      </c>
      <c r="D16" s="139">
        <f ca="1">E3</f>
        <v>379.34233790206832</v>
      </c>
      <c r="E16" s="130" t="s">
        <v>152</v>
      </c>
      <c r="G16" s="134">
        <f>E9</f>
        <v>13115</v>
      </c>
      <c r="H16" s="140"/>
    </row>
    <row r="17" spans="2:8" s="130" customFormat="1" ht="14" x14ac:dyDescent="0.2">
      <c r="B17" s="130" t="s">
        <v>153</v>
      </c>
      <c r="D17" s="139">
        <f>E4</f>
        <v>102.97</v>
      </c>
      <c r="E17" s="130" t="s">
        <v>154</v>
      </c>
      <c r="G17" s="141">
        <f>E10</f>
        <v>139989.125</v>
      </c>
      <c r="H17" s="140"/>
    </row>
    <row r="18" spans="2:8" s="130" customFormat="1" ht="14" x14ac:dyDescent="0.2">
      <c r="B18" s="130" t="s">
        <v>155</v>
      </c>
      <c r="D18" s="139">
        <f ca="1">(D16*G17+D29*G16)/(G17+G16)</f>
        <v>368.71513283011205</v>
      </c>
      <c r="E18" s="130" t="s">
        <v>156</v>
      </c>
      <c r="G18" s="142">
        <f>E8</f>
        <v>6.3E-3</v>
      </c>
    </row>
    <row r="19" spans="2:8" s="130" customFormat="1" ht="14" x14ac:dyDescent="0.2">
      <c r="B19" s="130" t="s">
        <v>157</v>
      </c>
      <c r="D19" s="139">
        <f>D17</f>
        <v>102.97</v>
      </c>
      <c r="E19" s="130" t="s">
        <v>158</v>
      </c>
      <c r="G19" s="143">
        <f>E6^2</f>
        <v>0.10764961000000001</v>
      </c>
    </row>
    <row r="20" spans="2:8" s="130" customFormat="1" ht="14" x14ac:dyDescent="0.2">
      <c r="B20" s="130" t="s">
        <v>159</v>
      </c>
      <c r="D20" s="139">
        <f>E5</f>
        <v>3.3</v>
      </c>
      <c r="E20" s="130" t="s">
        <v>160</v>
      </c>
      <c r="G20" s="142">
        <f>E7</f>
        <v>1.11E-2</v>
      </c>
    </row>
    <row r="21" spans="2:8" s="130" customFormat="1" ht="14" x14ac:dyDescent="0.2">
      <c r="D21" s="138"/>
      <c r="E21" s="130" t="s">
        <v>161</v>
      </c>
      <c r="G21" s="144">
        <f>G18-G20</f>
        <v>-4.8000000000000004E-3</v>
      </c>
    </row>
    <row r="22" spans="2:8" s="130" customFormat="1" ht="14" x14ac:dyDescent="0.2"/>
    <row r="23" spans="2:8" s="130" customFormat="1" ht="14" x14ac:dyDescent="0.2">
      <c r="B23" s="130" t="s">
        <v>162</v>
      </c>
      <c r="C23" s="134">
        <f ca="1">(LN(D18/D19)+(G21+(G19/2))*D20)/(((G19)^(0.5))*(D20^0.5))</f>
        <v>2.4115980779180144</v>
      </c>
    </row>
    <row r="24" spans="2:8" s="130" customFormat="1" ht="14" x14ac:dyDescent="0.2">
      <c r="B24" s="130" t="s">
        <v>163</v>
      </c>
      <c r="C24" s="134">
        <f ca="1">NORMSDIST(C23)</f>
        <v>0.99205861029718634</v>
      </c>
    </row>
    <row r="25" spans="2:8" s="130" customFormat="1" ht="14" x14ac:dyDescent="0.2"/>
    <row r="26" spans="2:8" s="130" customFormat="1" ht="14" x14ac:dyDescent="0.2">
      <c r="B26" s="130" t="s">
        <v>164</v>
      </c>
      <c r="C26" s="134">
        <f ca="1">C23-((G19^0.5)*(D20^(0.5)))</f>
        <v>1.8155748292103822</v>
      </c>
    </row>
    <row r="27" spans="2:8" s="130" customFormat="1" ht="14" x14ac:dyDescent="0.2">
      <c r="B27" s="130" t="s">
        <v>165</v>
      </c>
      <c r="C27" s="134">
        <f ca="1">NORMSDIST(C26)</f>
        <v>0.96528219116625225</v>
      </c>
    </row>
    <row r="28" spans="2:8" ht="15" thickBot="1" x14ac:dyDescent="0.25">
      <c r="B28" s="130"/>
      <c r="C28" s="130"/>
    </row>
    <row r="29" spans="2:8" s="130" customFormat="1" ht="15" thickBot="1" x14ac:dyDescent="0.25">
      <c r="B29" s="130" t="s">
        <v>166</v>
      </c>
      <c r="D29" s="145">
        <f ca="1">IF(C12="OFF",((EXP((0-G20)*D20))*D18*C24-D19*(EXP((0-G18)*D20))*C27),0)</f>
        <v>255.28065786108999</v>
      </c>
      <c r="H29" s="146"/>
    </row>
    <row r="30" spans="2:8" s="130" customFormat="1" ht="15" thickBot="1" x14ac:dyDescent="0.25">
      <c r="B30" s="130" t="s">
        <v>167</v>
      </c>
      <c r="E30" s="147">
        <f ca="1">D29*E9</f>
        <v>3348005.8278481951</v>
      </c>
    </row>
  </sheetData>
  <dataValidations count="1">
    <dataValidation type="list" allowBlank="1" showInputMessage="1" showErrorMessage="1" sqref="C12" xr:uid="{00000000-0002-0000-0800-000000000000}">
      <formula1>"ON,OFF"</formula1>
    </dataValidation>
  </dataValidations>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4:F71"/>
  <sheetViews>
    <sheetView zoomScale="140" zoomScaleNormal="140" workbookViewId="0">
      <selection activeCell="A17" sqref="A17"/>
    </sheetView>
  </sheetViews>
  <sheetFormatPr baseColWidth="10" defaultColWidth="8.83203125" defaultRowHeight="13" x14ac:dyDescent="0.15"/>
  <cols>
    <col min="1" max="1" width="30" customWidth="1"/>
    <col min="2" max="6" width="12.83203125" customWidth="1"/>
  </cols>
  <sheetData>
    <row r="4" spans="1:6" x14ac:dyDescent="0.15">
      <c r="A4" s="1" t="s">
        <v>168</v>
      </c>
    </row>
    <row r="5" spans="1:6" ht="20" x14ac:dyDescent="0.2">
      <c r="A5" s="2" t="s">
        <v>169</v>
      </c>
    </row>
    <row r="7" spans="1:6" ht="28" x14ac:dyDescent="0.15">
      <c r="A7" s="3" t="s">
        <v>170</v>
      </c>
    </row>
    <row r="10" spans="1:6" ht="28" x14ac:dyDescent="0.15">
      <c r="A10" s="4" t="s">
        <v>171</v>
      </c>
    </row>
    <row r="11" spans="1:6" x14ac:dyDescent="0.15">
      <c r="A11" s="5" t="s">
        <v>172</v>
      </c>
      <c r="B11" s="6">
        <v>2015</v>
      </c>
      <c r="C11" s="6">
        <v>2016</v>
      </c>
      <c r="D11" s="6">
        <v>2017</v>
      </c>
      <c r="E11" s="6">
        <v>2018</v>
      </c>
      <c r="F11" s="6">
        <v>2019</v>
      </c>
    </row>
    <row r="12" spans="1:6" ht="14" x14ac:dyDescent="0.15">
      <c r="A12" s="5" t="s">
        <v>173</v>
      </c>
      <c r="B12" s="6" t="s">
        <v>174</v>
      </c>
      <c r="C12" s="6" t="s">
        <v>174</v>
      </c>
      <c r="D12" s="6" t="s">
        <v>174</v>
      </c>
      <c r="E12" s="6" t="s">
        <v>174</v>
      </c>
      <c r="F12" s="6" t="s">
        <v>174</v>
      </c>
    </row>
    <row r="13" spans="1:6" ht="14" x14ac:dyDescent="0.15">
      <c r="A13" s="5" t="s">
        <v>175</v>
      </c>
      <c r="B13" s="6" t="s">
        <v>176</v>
      </c>
      <c r="C13" s="6" t="s">
        <v>176</v>
      </c>
      <c r="D13" s="6" t="s">
        <v>176</v>
      </c>
      <c r="E13" s="6" t="s">
        <v>177</v>
      </c>
      <c r="F13" s="6" t="s">
        <v>176</v>
      </c>
    </row>
    <row r="14" spans="1:6" ht="14" x14ac:dyDescent="0.15">
      <c r="A14" s="5" t="s">
        <v>178</v>
      </c>
      <c r="B14" s="6" t="s">
        <v>179</v>
      </c>
      <c r="C14" s="6" t="s">
        <v>179</v>
      </c>
      <c r="D14" s="6" t="s">
        <v>179</v>
      </c>
      <c r="E14" s="6" t="s">
        <v>179</v>
      </c>
      <c r="F14" s="6" t="s">
        <v>179</v>
      </c>
    </row>
    <row r="15" spans="1:6" ht="14" x14ac:dyDescent="0.15">
      <c r="A15" s="5" t="s">
        <v>180</v>
      </c>
      <c r="B15" s="6" t="s">
        <v>181</v>
      </c>
      <c r="C15" s="6" t="s">
        <v>181</v>
      </c>
      <c r="D15" s="6" t="s">
        <v>181</v>
      </c>
      <c r="E15" s="6" t="s">
        <v>181</v>
      </c>
      <c r="F15" s="6" t="s">
        <v>181</v>
      </c>
    </row>
    <row r="16" spans="1:6" x14ac:dyDescent="0.15">
      <c r="A16" s="7" t="s">
        <v>69</v>
      </c>
      <c r="B16" s="8">
        <v>1676299</v>
      </c>
      <c r="C16" s="8">
        <v>1796811</v>
      </c>
      <c r="D16" s="8">
        <v>2846729</v>
      </c>
      <c r="E16" s="8">
        <v>2443000</v>
      </c>
      <c r="F16" s="8">
        <v>3315000</v>
      </c>
    </row>
    <row r="17" spans="1:6" x14ac:dyDescent="0.15">
      <c r="A17" s="7" t="s">
        <v>182</v>
      </c>
      <c r="B17" s="8">
        <v>11324</v>
      </c>
      <c r="C17" s="8">
        <v>18733</v>
      </c>
      <c r="D17" s="8">
        <v>69055</v>
      </c>
      <c r="E17" s="8">
        <v>259000</v>
      </c>
      <c r="F17" s="8">
        <v>779000</v>
      </c>
    </row>
    <row r="18" spans="1:6" x14ac:dyDescent="0.15">
      <c r="A18" s="7" t="s">
        <v>70</v>
      </c>
      <c r="B18" s="8">
        <v>33739</v>
      </c>
      <c r="C18" s="8">
        <v>72313</v>
      </c>
      <c r="D18" s="8">
        <v>468508</v>
      </c>
      <c r="E18" s="8">
        <v>28000</v>
      </c>
      <c r="F18" s="8">
        <v>526000</v>
      </c>
    </row>
    <row r="19" spans="1:6" x14ac:dyDescent="0.15">
      <c r="A19" s="7" t="s">
        <v>183</v>
      </c>
      <c r="B19" s="9" t="s">
        <v>6</v>
      </c>
      <c r="C19" s="9" t="s">
        <v>6</v>
      </c>
      <c r="D19" s="9" t="s">
        <v>6</v>
      </c>
      <c r="E19" s="8">
        <v>2185000</v>
      </c>
      <c r="F19" s="8">
        <v>2565000</v>
      </c>
    </row>
    <row r="20" spans="1:6" x14ac:dyDescent="0.15">
      <c r="A20" s="7" t="s">
        <v>184</v>
      </c>
      <c r="B20" s="9" t="s">
        <v>6</v>
      </c>
      <c r="C20" s="9" t="s">
        <v>6</v>
      </c>
      <c r="D20" s="9" t="s">
        <v>6</v>
      </c>
      <c r="E20" s="8">
        <v>34000</v>
      </c>
      <c r="F20" s="8">
        <v>41000</v>
      </c>
    </row>
    <row r="21" spans="1:6" x14ac:dyDescent="0.15">
      <c r="A21" s="7" t="s">
        <v>185</v>
      </c>
      <c r="B21" s="9" t="s">
        <v>6</v>
      </c>
      <c r="C21" s="9" t="s">
        <v>6</v>
      </c>
      <c r="D21" s="9" t="s">
        <v>6</v>
      </c>
      <c r="E21" s="8">
        <v>2151000</v>
      </c>
      <c r="F21" s="8">
        <v>2524000</v>
      </c>
    </row>
    <row r="22" spans="1:6" x14ac:dyDescent="0.15">
      <c r="A22" s="7" t="s">
        <v>186</v>
      </c>
      <c r="B22" s="8">
        <v>1109441</v>
      </c>
      <c r="C22" s="8">
        <v>1368525</v>
      </c>
      <c r="D22" s="8">
        <v>1896691</v>
      </c>
      <c r="E22" s="9" t="s">
        <v>6</v>
      </c>
      <c r="F22" s="9" t="s">
        <v>6</v>
      </c>
    </row>
    <row r="23" spans="1:6" x14ac:dyDescent="0.15">
      <c r="A23" s="7" t="s">
        <v>184</v>
      </c>
      <c r="B23" s="8">
        <v>27035</v>
      </c>
      <c r="C23" s="8">
        <v>25278</v>
      </c>
      <c r="D23" s="8">
        <v>30696</v>
      </c>
      <c r="E23" s="9" t="s">
        <v>6</v>
      </c>
      <c r="F23" s="9" t="s">
        <v>6</v>
      </c>
    </row>
    <row r="24" spans="1:6" x14ac:dyDescent="0.15">
      <c r="A24" s="7" t="s">
        <v>187</v>
      </c>
      <c r="B24" s="8">
        <v>1082406</v>
      </c>
      <c r="C24" s="8">
        <v>1343247</v>
      </c>
      <c r="D24" s="8">
        <v>1865995</v>
      </c>
      <c r="E24" s="9" t="s">
        <v>6</v>
      </c>
      <c r="F24" s="9" t="s">
        <v>6</v>
      </c>
    </row>
    <row r="25" spans="1:6" x14ac:dyDescent="0.15">
      <c r="A25" s="7" t="s">
        <v>188</v>
      </c>
      <c r="B25" s="8">
        <v>13805</v>
      </c>
      <c r="C25" s="8">
        <v>19402</v>
      </c>
      <c r="D25" s="8">
        <v>20633</v>
      </c>
      <c r="E25" s="8">
        <v>24000</v>
      </c>
      <c r="F25" s="8">
        <v>70000</v>
      </c>
    </row>
    <row r="26" spans="1:6" x14ac:dyDescent="0.15">
      <c r="A26" s="7" t="s">
        <v>189</v>
      </c>
      <c r="B26" s="8">
        <v>161188</v>
      </c>
      <c r="C26" s="8">
        <v>199745</v>
      </c>
      <c r="D26" s="8">
        <v>268669</v>
      </c>
      <c r="E26" s="8">
        <v>292000</v>
      </c>
      <c r="F26" s="8">
        <v>521000</v>
      </c>
    </row>
    <row r="27" spans="1:6" x14ac:dyDescent="0.15">
      <c r="A27" s="7" t="s">
        <v>68</v>
      </c>
      <c r="B27" s="8">
        <v>2978761</v>
      </c>
      <c r="C27" s="8">
        <v>3450251</v>
      </c>
      <c r="D27" s="8">
        <v>5539589</v>
      </c>
      <c r="E27" s="8">
        <v>5197000</v>
      </c>
      <c r="F27" s="8">
        <v>7735000</v>
      </c>
    </row>
    <row r="28" spans="1:6" x14ac:dyDescent="0.15">
      <c r="A28" s="7" t="s">
        <v>190</v>
      </c>
      <c r="B28" s="8">
        <v>1220822</v>
      </c>
      <c r="C28" s="8">
        <v>1606960</v>
      </c>
      <c r="D28" s="8">
        <v>2111262</v>
      </c>
      <c r="E28" s="8">
        <v>2643000</v>
      </c>
      <c r="F28" s="8">
        <v>2947000</v>
      </c>
    </row>
    <row r="29" spans="1:6" x14ac:dyDescent="0.15">
      <c r="A29" s="7" t="s">
        <v>191</v>
      </c>
      <c r="B29" s="8">
        <v>485074</v>
      </c>
      <c r="C29" s="8">
        <v>665652</v>
      </c>
      <c r="D29" s="8">
        <v>658031</v>
      </c>
      <c r="E29" s="8">
        <v>597000</v>
      </c>
      <c r="F29" s="8">
        <v>643000</v>
      </c>
    </row>
    <row r="30" spans="1:6" x14ac:dyDescent="0.15">
      <c r="A30" s="7" t="s">
        <v>192</v>
      </c>
      <c r="B30" s="8">
        <v>65939</v>
      </c>
      <c r="C30" s="8">
        <v>72811</v>
      </c>
      <c r="D30" s="8">
        <v>84509</v>
      </c>
      <c r="E30" s="8">
        <v>94000</v>
      </c>
      <c r="F30" s="8">
        <v>114000</v>
      </c>
    </row>
    <row r="31" spans="1:6" x14ac:dyDescent="0.15">
      <c r="A31" s="7" t="s">
        <v>193</v>
      </c>
      <c r="B31" s="8">
        <v>199604</v>
      </c>
      <c r="C31" s="8">
        <v>241713</v>
      </c>
      <c r="D31" s="8">
        <v>282865</v>
      </c>
      <c r="E31" s="9" t="s">
        <v>6</v>
      </c>
      <c r="F31" s="9" t="s">
        <v>6</v>
      </c>
    </row>
    <row r="32" spans="1:6" x14ac:dyDescent="0.15">
      <c r="A32" s="7" t="s">
        <v>194</v>
      </c>
      <c r="B32" s="9" t="s">
        <v>6</v>
      </c>
      <c r="C32" s="9" t="s">
        <v>6</v>
      </c>
      <c r="D32" s="9" t="s">
        <v>6</v>
      </c>
      <c r="E32" s="8">
        <v>435000</v>
      </c>
      <c r="F32" s="8">
        <v>688000</v>
      </c>
    </row>
    <row r="33" spans="1:6" x14ac:dyDescent="0.15">
      <c r="A33" s="7" t="s">
        <v>195</v>
      </c>
      <c r="B33" s="8">
        <v>130725</v>
      </c>
      <c r="C33" s="8">
        <v>130812</v>
      </c>
      <c r="D33" s="8">
        <v>129049</v>
      </c>
      <c r="E33" s="8">
        <v>129000</v>
      </c>
      <c r="F33" s="8">
        <v>129000</v>
      </c>
    </row>
    <row r="34" spans="1:6" x14ac:dyDescent="0.15">
      <c r="A34" s="7" t="s">
        <v>196</v>
      </c>
      <c r="B34" s="8">
        <v>2102164</v>
      </c>
      <c r="C34" s="8">
        <v>2717948</v>
      </c>
      <c r="D34" s="8">
        <v>3265716</v>
      </c>
      <c r="E34" s="8">
        <v>3898000</v>
      </c>
      <c r="F34" s="8">
        <v>4521000</v>
      </c>
    </row>
    <row r="35" spans="1:6" x14ac:dyDescent="0.15">
      <c r="A35" s="7" t="s">
        <v>197</v>
      </c>
      <c r="B35" s="8">
        <v>1201744</v>
      </c>
      <c r="C35" s="8">
        <v>1575879</v>
      </c>
      <c r="D35" s="8">
        <v>2055720</v>
      </c>
      <c r="E35" s="8">
        <v>2552000</v>
      </c>
      <c r="F35" s="8">
        <v>2833000</v>
      </c>
    </row>
    <row r="36" spans="1:6" x14ac:dyDescent="0.15">
      <c r="A36" s="7" t="s">
        <v>198</v>
      </c>
      <c r="B36" s="8">
        <v>163839</v>
      </c>
      <c r="C36" s="8">
        <v>252835</v>
      </c>
      <c r="D36" s="8">
        <v>365262</v>
      </c>
      <c r="E36" s="8">
        <v>531000</v>
      </c>
      <c r="F36" s="8">
        <v>510000</v>
      </c>
    </row>
    <row r="37" spans="1:6" x14ac:dyDescent="0.15">
      <c r="A37" s="7" t="s">
        <v>199</v>
      </c>
      <c r="B37" s="8">
        <v>1064259</v>
      </c>
      <c r="C37" s="8">
        <v>1394904</v>
      </c>
      <c r="D37" s="8">
        <v>1575258</v>
      </c>
      <c r="E37" s="8">
        <v>1877000</v>
      </c>
      <c r="F37" s="8">
        <v>2198000</v>
      </c>
    </row>
    <row r="38" spans="1:6" x14ac:dyDescent="0.15">
      <c r="A38" s="7" t="s">
        <v>200</v>
      </c>
      <c r="B38" s="9" t="s">
        <v>6</v>
      </c>
      <c r="C38" s="9" t="s">
        <v>6</v>
      </c>
      <c r="D38" s="9" t="s">
        <v>6</v>
      </c>
      <c r="E38" s="9" t="s">
        <v>6</v>
      </c>
      <c r="F38" s="8">
        <v>611000</v>
      </c>
    </row>
    <row r="39" spans="1:6" x14ac:dyDescent="0.15">
      <c r="A39" s="7" t="s">
        <v>201</v>
      </c>
      <c r="B39" s="8">
        <v>658439</v>
      </c>
      <c r="C39" s="8">
        <v>520058</v>
      </c>
      <c r="D39" s="8">
        <v>845450</v>
      </c>
      <c r="E39" s="8">
        <v>778000</v>
      </c>
      <c r="F39" s="8">
        <v>796000</v>
      </c>
    </row>
    <row r="40" spans="1:6" x14ac:dyDescent="0.15">
      <c r="A40" s="7" t="s">
        <v>202</v>
      </c>
      <c r="B40" s="8">
        <v>15458</v>
      </c>
      <c r="C40" s="8">
        <v>23658</v>
      </c>
      <c r="D40" s="8">
        <v>17930</v>
      </c>
      <c r="E40" s="8">
        <v>69000</v>
      </c>
      <c r="F40" s="8">
        <v>145000</v>
      </c>
    </row>
    <row r="41" spans="1:6" x14ac:dyDescent="0.15">
      <c r="A41" s="7" t="s">
        <v>203</v>
      </c>
      <c r="B41" s="8">
        <v>2793954</v>
      </c>
      <c r="C41" s="8">
        <v>2446652</v>
      </c>
      <c r="D41" s="8">
        <v>2308536</v>
      </c>
      <c r="E41" s="8">
        <v>1992000</v>
      </c>
      <c r="F41" s="8">
        <v>1804000</v>
      </c>
    </row>
    <row r="42" spans="1:6" x14ac:dyDescent="0.15">
      <c r="A42" s="7" t="s">
        <v>204</v>
      </c>
      <c r="B42" s="8">
        <v>7992941</v>
      </c>
      <c r="C42" s="8">
        <v>7942023</v>
      </c>
      <c r="D42" s="8">
        <v>8228865</v>
      </c>
      <c r="E42" s="8">
        <v>8120000</v>
      </c>
      <c r="F42" s="8">
        <v>8127000</v>
      </c>
    </row>
    <row r="43" spans="1:6" x14ac:dyDescent="0.15">
      <c r="A43" s="7" t="s">
        <v>205</v>
      </c>
      <c r="B43" s="8">
        <v>15503812</v>
      </c>
      <c r="C43" s="8">
        <v>15777546</v>
      </c>
      <c r="D43" s="8">
        <v>18515628</v>
      </c>
      <c r="E43" s="8">
        <v>18033000</v>
      </c>
      <c r="F43" s="8">
        <v>21416000</v>
      </c>
    </row>
    <row r="44" spans="1:6" x14ac:dyDescent="0.15">
      <c r="A44" s="7" t="s">
        <v>206</v>
      </c>
      <c r="B44" s="8">
        <v>1329870</v>
      </c>
      <c r="C44" s="8">
        <v>1509313</v>
      </c>
      <c r="D44" s="8">
        <v>1837936</v>
      </c>
      <c r="E44" s="8">
        <v>1699000</v>
      </c>
      <c r="F44" s="8">
        <v>1921000</v>
      </c>
    </row>
    <row r="45" spans="1:6" x14ac:dyDescent="0.15">
      <c r="A45" s="7" t="s">
        <v>207</v>
      </c>
      <c r="B45" s="8">
        <v>485557</v>
      </c>
      <c r="C45" s="8">
        <v>577012</v>
      </c>
      <c r="D45" s="8">
        <v>697560</v>
      </c>
      <c r="E45" s="8">
        <v>788000</v>
      </c>
      <c r="F45" s="8">
        <v>906000</v>
      </c>
    </row>
    <row r="46" spans="1:6" x14ac:dyDescent="0.15">
      <c r="A46" s="7" t="s">
        <v>208</v>
      </c>
      <c r="B46" s="8">
        <v>2337037</v>
      </c>
      <c r="C46" s="8">
        <v>2617791</v>
      </c>
      <c r="D46" s="8">
        <v>3219279</v>
      </c>
      <c r="E46" s="8">
        <v>4327000</v>
      </c>
      <c r="F46" s="8">
        <v>5679000</v>
      </c>
    </row>
    <row r="47" spans="1:6" x14ac:dyDescent="0.15">
      <c r="A47" s="7" t="s">
        <v>209</v>
      </c>
      <c r="B47" s="8">
        <v>235809</v>
      </c>
      <c r="C47" s="8">
        <v>282517</v>
      </c>
      <c r="D47" s="8">
        <v>325722</v>
      </c>
      <c r="E47" s="8">
        <v>364000</v>
      </c>
      <c r="F47" s="8">
        <v>321000</v>
      </c>
    </row>
    <row r="48" spans="1:6" x14ac:dyDescent="0.15">
      <c r="A48" s="7" t="s">
        <v>210</v>
      </c>
      <c r="B48" s="8">
        <v>68019</v>
      </c>
      <c r="C48" s="8">
        <v>49739</v>
      </c>
      <c r="D48" s="8">
        <v>33374</v>
      </c>
      <c r="E48" s="8">
        <v>74000</v>
      </c>
      <c r="F48" s="8">
        <v>88000</v>
      </c>
    </row>
    <row r="49" spans="1:6" x14ac:dyDescent="0.15">
      <c r="A49" s="7" t="s">
        <v>211</v>
      </c>
      <c r="B49" s="8">
        <v>1469725</v>
      </c>
      <c r="C49" s="8">
        <v>1090826</v>
      </c>
      <c r="D49" s="8">
        <v>1264819</v>
      </c>
      <c r="E49" s="8">
        <v>808000</v>
      </c>
      <c r="F49" s="8">
        <v>1050000</v>
      </c>
    </row>
    <row r="50" spans="1:6" x14ac:dyDescent="0.15">
      <c r="A50" s="7" t="s">
        <v>73</v>
      </c>
      <c r="B50" s="9" t="s">
        <v>6</v>
      </c>
      <c r="C50" s="9" t="s">
        <v>6</v>
      </c>
      <c r="D50" s="8">
        <v>500000</v>
      </c>
      <c r="E50" s="9" t="s">
        <v>6</v>
      </c>
      <c r="F50" s="8">
        <v>749000</v>
      </c>
    </row>
    <row r="51" spans="1:6" x14ac:dyDescent="0.15">
      <c r="A51" s="7" t="s">
        <v>72</v>
      </c>
      <c r="B51" s="8">
        <v>5926017</v>
      </c>
      <c r="C51" s="8">
        <v>6127198</v>
      </c>
      <c r="D51" s="8">
        <v>7878690</v>
      </c>
      <c r="E51" s="8">
        <v>8060000</v>
      </c>
      <c r="F51" s="8">
        <v>10714000</v>
      </c>
    </row>
    <row r="52" spans="1:6" x14ac:dyDescent="0.15">
      <c r="A52" s="7" t="s">
        <v>212</v>
      </c>
      <c r="B52" s="8">
        <v>3201277</v>
      </c>
      <c r="C52" s="8">
        <v>3159336</v>
      </c>
      <c r="D52" s="8">
        <v>4249054</v>
      </c>
      <c r="E52" s="8">
        <v>3717000</v>
      </c>
      <c r="F52" s="8">
        <v>4938000</v>
      </c>
    </row>
    <row r="53" spans="1:6" x14ac:dyDescent="0.15">
      <c r="A53" s="7" t="s">
        <v>73</v>
      </c>
      <c r="B53" s="9" t="s">
        <v>6</v>
      </c>
      <c r="C53" s="9" t="s">
        <v>6</v>
      </c>
      <c r="D53" s="8">
        <v>500000</v>
      </c>
      <c r="E53" s="9" t="s">
        <v>6</v>
      </c>
      <c r="F53" s="8">
        <v>749000</v>
      </c>
    </row>
    <row r="54" spans="1:6" x14ac:dyDescent="0.15">
      <c r="A54" s="7" t="s">
        <v>213</v>
      </c>
      <c r="B54" s="8">
        <v>3201277</v>
      </c>
      <c r="C54" s="8">
        <v>3159336</v>
      </c>
      <c r="D54" s="8">
        <v>3749054</v>
      </c>
      <c r="E54" s="8">
        <v>3717000</v>
      </c>
      <c r="F54" s="8">
        <v>4189000</v>
      </c>
    </row>
    <row r="55" spans="1:6" x14ac:dyDescent="0.15">
      <c r="A55" s="7" t="s">
        <v>202</v>
      </c>
      <c r="B55" s="8">
        <v>473841</v>
      </c>
      <c r="C55" s="8">
        <v>484970</v>
      </c>
      <c r="D55" s="8">
        <v>328602</v>
      </c>
      <c r="E55" s="8">
        <v>69000</v>
      </c>
      <c r="F55" s="8">
        <v>56000</v>
      </c>
    </row>
    <row r="56" spans="1:6" x14ac:dyDescent="0.15">
      <c r="A56" s="7" t="s">
        <v>214</v>
      </c>
      <c r="B56" s="9" t="s">
        <v>6</v>
      </c>
      <c r="C56" s="9" t="s">
        <v>6</v>
      </c>
      <c r="D56" s="9" t="s">
        <v>6</v>
      </c>
      <c r="E56" s="9" t="s">
        <v>6</v>
      </c>
      <c r="F56" s="8">
        <v>532000</v>
      </c>
    </row>
    <row r="57" spans="1:6" x14ac:dyDescent="0.15">
      <c r="A57" s="7" t="s">
        <v>215</v>
      </c>
      <c r="B57" s="8">
        <v>314432</v>
      </c>
      <c r="C57" s="8">
        <v>312939</v>
      </c>
      <c r="D57" s="8">
        <v>408380</v>
      </c>
      <c r="E57" s="8">
        <v>506000</v>
      </c>
      <c r="F57" s="8">
        <v>374000</v>
      </c>
    </row>
    <row r="58" spans="1:6" x14ac:dyDescent="0.15">
      <c r="A58" s="7" t="s">
        <v>216</v>
      </c>
      <c r="B58" s="8">
        <v>658478</v>
      </c>
      <c r="C58" s="9" t="s">
        <v>6</v>
      </c>
      <c r="D58" s="8">
        <v>22334</v>
      </c>
      <c r="E58" s="8">
        <v>30000</v>
      </c>
      <c r="F58" s="8">
        <v>15000</v>
      </c>
    </row>
    <row r="59" spans="1:6" x14ac:dyDescent="0.15">
      <c r="A59" s="7" t="s">
        <v>217</v>
      </c>
      <c r="B59" s="8">
        <v>22</v>
      </c>
      <c r="C59" s="8">
        <v>22</v>
      </c>
      <c r="D59" s="8">
        <v>23</v>
      </c>
      <c r="E59" s="9" t="s">
        <v>6</v>
      </c>
      <c r="F59" s="9" t="s">
        <v>6</v>
      </c>
    </row>
    <row r="60" spans="1:6" x14ac:dyDescent="0.15">
      <c r="A60" s="7" t="s">
        <v>218</v>
      </c>
      <c r="B60" s="8">
        <v>1</v>
      </c>
      <c r="C60" s="8">
        <v>1</v>
      </c>
      <c r="D60" s="8">
        <v>1</v>
      </c>
      <c r="E60" s="9" t="s">
        <v>6</v>
      </c>
      <c r="F60" s="9" t="s">
        <v>6</v>
      </c>
    </row>
    <row r="61" spans="1:6" x14ac:dyDescent="0.15">
      <c r="A61" s="7" t="s">
        <v>219</v>
      </c>
      <c r="B61" s="8">
        <v>8696508</v>
      </c>
      <c r="C61" s="8">
        <v>8794298</v>
      </c>
      <c r="D61" s="8">
        <v>9162909</v>
      </c>
      <c r="E61" s="8">
        <v>9549000</v>
      </c>
      <c r="F61" s="8">
        <v>12978000</v>
      </c>
    </row>
    <row r="62" spans="1:6" x14ac:dyDescent="0.15">
      <c r="A62" s="7" t="s">
        <v>220</v>
      </c>
      <c r="B62" s="8">
        <v>4054909</v>
      </c>
      <c r="C62" s="8">
        <v>4510655</v>
      </c>
      <c r="D62" s="8">
        <v>4822743</v>
      </c>
      <c r="E62" s="8">
        <v>5742000</v>
      </c>
      <c r="F62" s="8">
        <v>9673000</v>
      </c>
    </row>
    <row r="63" spans="1:6" x14ac:dyDescent="0.15">
      <c r="A63" s="7" t="s">
        <v>221</v>
      </c>
      <c r="B63" s="8">
        <v>507666</v>
      </c>
      <c r="C63" s="8">
        <v>129034</v>
      </c>
      <c r="D63" s="8">
        <v>331078</v>
      </c>
      <c r="E63" s="8">
        <v>517000</v>
      </c>
      <c r="F63" s="8">
        <v>879000</v>
      </c>
    </row>
    <row r="64" spans="1:6" x14ac:dyDescent="0.15">
      <c r="A64" s="7" t="s">
        <v>222</v>
      </c>
      <c r="B64" s="8">
        <v>-284767</v>
      </c>
      <c r="C64" s="8">
        <v>-280426</v>
      </c>
      <c r="D64" s="9" t="s">
        <v>6</v>
      </c>
      <c r="E64" s="9" t="s">
        <v>6</v>
      </c>
      <c r="F64" s="9" t="s">
        <v>6</v>
      </c>
    </row>
    <row r="65" spans="1:6" x14ac:dyDescent="0.15">
      <c r="A65" s="7" t="s">
        <v>223</v>
      </c>
      <c r="B65" s="8">
        <v>-127</v>
      </c>
      <c r="C65" s="8">
        <v>27</v>
      </c>
      <c r="D65" s="9" t="s">
        <v>6</v>
      </c>
      <c r="E65" s="9" t="s">
        <v>6</v>
      </c>
      <c r="F65" s="9" t="s">
        <v>6</v>
      </c>
    </row>
    <row r="66" spans="1:6" x14ac:dyDescent="0.15">
      <c r="A66" s="7" t="s">
        <v>224</v>
      </c>
      <c r="B66" s="9" t="s">
        <v>6</v>
      </c>
      <c r="C66" s="9" t="s">
        <v>6</v>
      </c>
      <c r="D66" s="8">
        <v>-142255</v>
      </c>
      <c r="E66" s="8">
        <v>-220000</v>
      </c>
      <c r="F66" s="9" t="s">
        <v>6</v>
      </c>
    </row>
    <row r="67" spans="1:6" x14ac:dyDescent="0.15">
      <c r="A67" s="7" t="s">
        <v>225</v>
      </c>
      <c r="B67" s="9" t="s">
        <v>6</v>
      </c>
      <c r="C67" s="9" t="s">
        <v>6</v>
      </c>
      <c r="D67" s="8">
        <v>-6678</v>
      </c>
      <c r="E67" s="9" t="s">
        <v>6</v>
      </c>
      <c r="F67" s="9" t="s">
        <v>6</v>
      </c>
    </row>
    <row r="68" spans="1:6" x14ac:dyDescent="0.15">
      <c r="A68" s="7" t="s">
        <v>226</v>
      </c>
      <c r="B68" s="8">
        <v>-284894</v>
      </c>
      <c r="C68" s="8">
        <v>-280399</v>
      </c>
      <c r="D68" s="8">
        <v>-148933</v>
      </c>
      <c r="E68" s="8">
        <v>-220000</v>
      </c>
      <c r="F68" s="8">
        <v>-217000</v>
      </c>
    </row>
    <row r="69" spans="1:6" x14ac:dyDescent="0.15">
      <c r="A69" s="7" t="s">
        <v>227</v>
      </c>
      <c r="B69" s="8">
        <v>4864394</v>
      </c>
      <c r="C69" s="8">
        <v>4132301</v>
      </c>
      <c r="D69" s="8">
        <v>4522335</v>
      </c>
      <c r="E69" s="8">
        <v>4104000</v>
      </c>
      <c r="F69" s="8">
        <v>3967000</v>
      </c>
    </row>
    <row r="70" spans="1:6" x14ac:dyDescent="0.15">
      <c r="A70" s="7" t="s">
        <v>228</v>
      </c>
      <c r="B70" s="8">
        <v>65373</v>
      </c>
      <c r="C70" s="8">
        <v>1560802</v>
      </c>
      <c r="D70" s="8">
        <v>1606233</v>
      </c>
      <c r="E70" s="8">
        <v>1547000</v>
      </c>
      <c r="F70" s="8">
        <v>1569000</v>
      </c>
    </row>
    <row r="71" spans="1:6" x14ac:dyDescent="0.15">
      <c r="A71" s="7" t="s">
        <v>229</v>
      </c>
      <c r="B71" s="8">
        <v>4929767</v>
      </c>
      <c r="C71" s="8">
        <v>5693103</v>
      </c>
      <c r="D71" s="8">
        <v>6128568</v>
      </c>
      <c r="E71" s="8">
        <v>5651000</v>
      </c>
      <c r="F71" s="8">
        <v>5536000</v>
      </c>
    </row>
  </sheetData>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4:F63"/>
  <sheetViews>
    <sheetView zoomScale="140" zoomScaleNormal="140" workbookViewId="0">
      <selection activeCell="C8" sqref="C8"/>
    </sheetView>
  </sheetViews>
  <sheetFormatPr baseColWidth="10" defaultColWidth="8.83203125" defaultRowHeight="13" x14ac:dyDescent="0.15"/>
  <cols>
    <col min="1" max="1" width="50" customWidth="1"/>
    <col min="2" max="192" width="12" customWidth="1"/>
  </cols>
  <sheetData>
    <row r="4" spans="1:6" x14ac:dyDescent="0.15">
      <c r="A4" s="1" t="s">
        <v>168</v>
      </c>
    </row>
    <row r="5" spans="1:6" ht="20" x14ac:dyDescent="0.2">
      <c r="A5" s="2" t="s">
        <v>169</v>
      </c>
    </row>
    <row r="7" spans="1:6" ht="14" x14ac:dyDescent="0.15">
      <c r="A7" s="3" t="s">
        <v>170</v>
      </c>
    </row>
    <row r="10" spans="1:6" ht="14" x14ac:dyDescent="0.15">
      <c r="A10" s="4" t="s">
        <v>230</v>
      </c>
    </row>
    <row r="11" spans="1:6" x14ac:dyDescent="0.15">
      <c r="A11" s="5" t="s">
        <v>172</v>
      </c>
      <c r="B11" s="6">
        <v>2015</v>
      </c>
      <c r="C11" s="6">
        <v>2016</v>
      </c>
      <c r="D11" s="6">
        <v>2017</v>
      </c>
      <c r="E11" s="6">
        <v>2018</v>
      </c>
      <c r="F11" s="6">
        <v>2019</v>
      </c>
    </row>
    <row r="12" spans="1:6" ht="14" x14ac:dyDescent="0.15">
      <c r="A12" s="5" t="s">
        <v>173</v>
      </c>
      <c r="B12" s="6" t="s">
        <v>174</v>
      </c>
      <c r="C12" s="6" t="s">
        <v>174</v>
      </c>
      <c r="D12" s="6" t="s">
        <v>174</v>
      </c>
      <c r="E12" s="6" t="s">
        <v>174</v>
      </c>
      <c r="F12" s="6" t="s">
        <v>174</v>
      </c>
    </row>
    <row r="13" spans="1:6" ht="14" x14ac:dyDescent="0.15">
      <c r="A13" s="5" t="s">
        <v>175</v>
      </c>
      <c r="B13" s="6" t="s">
        <v>176</v>
      </c>
      <c r="C13" s="6" t="s">
        <v>176</v>
      </c>
      <c r="D13" s="6" t="s">
        <v>176</v>
      </c>
      <c r="E13" s="6" t="s">
        <v>177</v>
      </c>
      <c r="F13" s="6" t="s">
        <v>176</v>
      </c>
    </row>
    <row r="14" spans="1:6" ht="14" x14ac:dyDescent="0.15">
      <c r="A14" s="5" t="s">
        <v>178</v>
      </c>
      <c r="B14" s="6" t="s">
        <v>179</v>
      </c>
      <c r="C14" s="6" t="s">
        <v>179</v>
      </c>
      <c r="D14" s="6" t="s">
        <v>179</v>
      </c>
      <c r="E14" s="6" t="s">
        <v>179</v>
      </c>
      <c r="F14" s="6" t="s">
        <v>179</v>
      </c>
    </row>
    <row r="15" spans="1:6" ht="14" x14ac:dyDescent="0.15">
      <c r="A15" s="5" t="s">
        <v>180</v>
      </c>
      <c r="B15" s="6" t="s">
        <v>181</v>
      </c>
      <c r="C15" s="6" t="s">
        <v>181</v>
      </c>
      <c r="D15" s="6" t="s">
        <v>181</v>
      </c>
      <c r="E15" s="6" t="s">
        <v>181</v>
      </c>
      <c r="F15" s="6" t="s">
        <v>181</v>
      </c>
    </row>
    <row r="16" spans="1:6" x14ac:dyDescent="0.15">
      <c r="A16" s="7" t="s">
        <v>21</v>
      </c>
      <c r="B16" s="8">
        <v>6672317</v>
      </c>
      <c r="C16" s="8">
        <v>8773564</v>
      </c>
      <c r="D16" s="8">
        <v>10059844</v>
      </c>
      <c r="E16" s="8">
        <v>11223000</v>
      </c>
      <c r="F16" s="8">
        <v>12067000</v>
      </c>
    </row>
    <row r="17" spans="1:6" x14ac:dyDescent="0.15">
      <c r="A17" s="7" t="s">
        <v>22</v>
      </c>
      <c r="B17" s="8">
        <v>1309559</v>
      </c>
      <c r="C17" s="8">
        <v>1596698</v>
      </c>
      <c r="D17" s="8">
        <v>1756531</v>
      </c>
      <c r="E17" s="8">
        <v>1965000</v>
      </c>
      <c r="F17" s="8">
        <v>2163000</v>
      </c>
    </row>
    <row r="18" spans="1:6" x14ac:dyDescent="0.15">
      <c r="A18" s="7" t="s">
        <v>25</v>
      </c>
      <c r="B18" s="8">
        <v>3381086</v>
      </c>
      <c r="C18" s="8">
        <v>4367417</v>
      </c>
      <c r="D18" s="8">
        <v>5297832</v>
      </c>
      <c r="E18" s="8">
        <v>5767000</v>
      </c>
      <c r="F18" s="8">
        <v>6135000</v>
      </c>
    </row>
    <row r="19" spans="1:6" x14ac:dyDescent="0.15">
      <c r="A19" s="7" t="s">
        <v>24</v>
      </c>
      <c r="B19" s="8">
        <v>830244</v>
      </c>
      <c r="C19" s="8">
        <v>1235019</v>
      </c>
      <c r="D19" s="8">
        <v>1386787</v>
      </c>
      <c r="E19" s="8">
        <v>1617000</v>
      </c>
      <c r="F19" s="8">
        <v>1763000</v>
      </c>
    </row>
    <row r="20" spans="1:6" x14ac:dyDescent="0.15">
      <c r="A20" s="7" t="s">
        <v>26</v>
      </c>
      <c r="B20" s="8">
        <v>573913</v>
      </c>
      <c r="C20" s="8">
        <v>678292</v>
      </c>
      <c r="D20" s="8">
        <v>675961</v>
      </c>
      <c r="E20" s="8">
        <v>808000</v>
      </c>
      <c r="F20" s="8">
        <v>847000</v>
      </c>
    </row>
    <row r="21" spans="1:6" x14ac:dyDescent="0.15">
      <c r="A21" s="7" t="s">
        <v>231</v>
      </c>
      <c r="B21" s="8">
        <v>163665</v>
      </c>
      <c r="C21" s="8">
        <v>317141</v>
      </c>
      <c r="D21" s="8">
        <v>275445</v>
      </c>
      <c r="E21" s="8">
        <v>283000</v>
      </c>
      <c r="F21" s="8">
        <v>198000</v>
      </c>
    </row>
    <row r="22" spans="1:6" x14ac:dyDescent="0.15">
      <c r="A22" s="7" t="s">
        <v>232</v>
      </c>
      <c r="B22" s="9" t="s">
        <v>6</v>
      </c>
      <c r="C22" s="9" t="s">
        <v>6</v>
      </c>
      <c r="D22" s="9" t="s">
        <v>6</v>
      </c>
      <c r="E22" s="8">
        <v>86000</v>
      </c>
      <c r="F22" s="9" t="s">
        <v>6</v>
      </c>
    </row>
    <row r="23" spans="1:6" x14ac:dyDescent="0.15">
      <c r="A23" s="7" t="s">
        <v>233</v>
      </c>
      <c r="B23" s="9" t="s">
        <v>6</v>
      </c>
      <c r="C23" s="8">
        <v>34890</v>
      </c>
      <c r="D23" s="9" t="s">
        <v>6</v>
      </c>
      <c r="E23" s="8">
        <v>42000</v>
      </c>
      <c r="F23" s="9" t="s">
        <v>6</v>
      </c>
    </row>
    <row r="24" spans="1:6" x14ac:dyDescent="0.15">
      <c r="A24" s="7" t="s">
        <v>234</v>
      </c>
      <c r="B24" s="8">
        <v>-104587</v>
      </c>
      <c r="C24" s="8">
        <v>26498</v>
      </c>
      <c r="D24" s="8">
        <v>25412</v>
      </c>
      <c r="E24" s="8">
        <v>-59000</v>
      </c>
      <c r="F24" s="8">
        <v>34000</v>
      </c>
    </row>
    <row r="25" spans="1:6" x14ac:dyDescent="0.15">
      <c r="A25" s="7" t="s">
        <v>235</v>
      </c>
      <c r="B25" s="8">
        <v>104871</v>
      </c>
      <c r="C25" s="8">
        <v>55907</v>
      </c>
      <c r="D25" s="8">
        <v>16738</v>
      </c>
      <c r="E25" s="9" t="s">
        <v>6</v>
      </c>
      <c r="F25" s="8">
        <v>24000</v>
      </c>
    </row>
    <row r="26" spans="1:6" x14ac:dyDescent="0.15">
      <c r="A26" s="7" t="s">
        <v>236</v>
      </c>
      <c r="B26" s="8">
        <v>413566</v>
      </c>
      <c r="C26" s="8">
        <v>461702</v>
      </c>
      <c r="D26" s="8">
        <v>625138</v>
      </c>
      <c r="E26" s="8">
        <v>714000</v>
      </c>
      <c r="F26" s="8">
        <v>903000</v>
      </c>
    </row>
    <row r="27" spans="1:6" x14ac:dyDescent="0.15">
      <c r="A27" s="7" t="s">
        <v>237</v>
      </c>
      <c r="B27" s="8">
        <v>16695</v>
      </c>
      <c r="C27" s="8">
        <v>19726</v>
      </c>
      <c r="D27" s="8">
        <v>34137</v>
      </c>
      <c r="E27" s="8">
        <v>71000</v>
      </c>
      <c r="F27" s="8">
        <v>59000</v>
      </c>
    </row>
    <row r="28" spans="1:6" x14ac:dyDescent="0.15">
      <c r="A28" s="7" t="s">
        <v>238</v>
      </c>
      <c r="B28" s="8">
        <v>126195</v>
      </c>
      <c r="C28" s="8">
        <v>173148</v>
      </c>
      <c r="D28" s="8">
        <v>181712</v>
      </c>
      <c r="E28" s="8">
        <v>190000</v>
      </c>
      <c r="F28" s="8">
        <v>173000</v>
      </c>
    </row>
    <row r="29" spans="1:6" x14ac:dyDescent="0.15">
      <c r="A29" s="7" t="s">
        <v>239</v>
      </c>
      <c r="B29" s="8">
        <v>508810</v>
      </c>
      <c r="C29" s="9" t="s">
        <v>6</v>
      </c>
      <c r="D29" s="9" t="s">
        <v>6</v>
      </c>
      <c r="E29" s="9" t="s">
        <v>6</v>
      </c>
      <c r="F29" s="9" t="s">
        <v>6</v>
      </c>
    </row>
    <row r="30" spans="1:6" x14ac:dyDescent="0.15">
      <c r="A30" s="7" t="s">
        <v>240</v>
      </c>
      <c r="B30" s="8">
        <v>24787</v>
      </c>
      <c r="C30" s="8">
        <v>-15244</v>
      </c>
      <c r="D30" s="8">
        <v>-45614</v>
      </c>
      <c r="E30" s="8">
        <v>3000</v>
      </c>
      <c r="F30" s="8">
        <v>-34000</v>
      </c>
    </row>
    <row r="31" spans="1:6" x14ac:dyDescent="0.15">
      <c r="A31" s="7" t="s">
        <v>241</v>
      </c>
      <c r="B31" s="8">
        <v>-77400</v>
      </c>
      <c r="C31" s="9" t="s">
        <v>6</v>
      </c>
      <c r="D31" s="8">
        <v>-1678</v>
      </c>
      <c r="E31" s="9" t="s">
        <v>6</v>
      </c>
      <c r="F31" s="9" t="s">
        <v>6</v>
      </c>
    </row>
    <row r="32" spans="1:6" x14ac:dyDescent="0.15">
      <c r="A32" s="7" t="s">
        <v>242</v>
      </c>
      <c r="B32" s="9" t="s">
        <v>6</v>
      </c>
      <c r="C32" s="9" t="s">
        <v>6</v>
      </c>
      <c r="D32" s="9" t="s">
        <v>6</v>
      </c>
      <c r="E32" s="8">
        <v>111000</v>
      </c>
      <c r="F32" s="8">
        <v>-8000</v>
      </c>
    </row>
    <row r="33" spans="1:6" x14ac:dyDescent="0.15">
      <c r="A33" s="7" t="s">
        <v>243</v>
      </c>
      <c r="B33" s="9" t="s">
        <v>6</v>
      </c>
      <c r="C33" s="8">
        <v>12117</v>
      </c>
      <c r="D33" s="9" t="s">
        <v>6</v>
      </c>
      <c r="E33" s="9" t="s">
        <v>6</v>
      </c>
      <c r="F33" s="9" t="s">
        <v>6</v>
      </c>
    </row>
    <row r="34" spans="1:6" x14ac:dyDescent="0.15">
      <c r="A34" s="7" t="s">
        <v>244</v>
      </c>
      <c r="B34" s="9" t="s">
        <v>6</v>
      </c>
      <c r="C34" s="9" t="s">
        <v>6</v>
      </c>
      <c r="D34" s="8">
        <v>-14318</v>
      </c>
      <c r="E34" s="9" t="s">
        <v>6</v>
      </c>
      <c r="F34" s="9" t="s">
        <v>6</v>
      </c>
    </row>
    <row r="35" spans="1:6" x14ac:dyDescent="0.15">
      <c r="A35" s="7" t="s">
        <v>245</v>
      </c>
      <c r="B35" s="8">
        <v>-13</v>
      </c>
      <c r="C35" s="8">
        <v>-1490</v>
      </c>
      <c r="D35" s="8">
        <v>232</v>
      </c>
      <c r="E35" s="9" t="s">
        <v>6</v>
      </c>
      <c r="F35" s="9" t="s">
        <v>6</v>
      </c>
    </row>
    <row r="36" spans="1:6" x14ac:dyDescent="0.15">
      <c r="A36" s="7" t="s">
        <v>246</v>
      </c>
      <c r="B36" s="8">
        <v>10912</v>
      </c>
      <c r="C36" s="8">
        <v>-2829</v>
      </c>
      <c r="D36" s="8">
        <v>-2777</v>
      </c>
      <c r="E36" s="8">
        <v>-2000</v>
      </c>
      <c r="F36" s="8">
        <v>12000</v>
      </c>
    </row>
    <row r="37" spans="1:6" x14ac:dyDescent="0.15">
      <c r="A37" s="7" t="s">
        <v>247</v>
      </c>
      <c r="B37" s="8">
        <v>113086</v>
      </c>
      <c r="C37" s="8">
        <v>-31680</v>
      </c>
      <c r="D37" s="8">
        <v>-60799</v>
      </c>
      <c r="E37" s="8">
        <v>-110000</v>
      </c>
      <c r="F37" s="8">
        <v>-14000</v>
      </c>
    </row>
    <row r="38" spans="1:6" x14ac:dyDescent="0.15">
      <c r="A38" s="7" t="s">
        <v>248</v>
      </c>
      <c r="B38" s="8">
        <v>512396</v>
      </c>
      <c r="C38" s="8">
        <v>-185102</v>
      </c>
      <c r="D38" s="8">
        <v>-208374</v>
      </c>
      <c r="E38" s="8">
        <v>-229000</v>
      </c>
      <c r="F38" s="8">
        <v>-128000</v>
      </c>
    </row>
    <row r="39" spans="1:6" x14ac:dyDescent="0.15">
      <c r="A39" s="7" t="s">
        <v>249</v>
      </c>
      <c r="B39" s="8">
        <v>24397</v>
      </c>
      <c r="C39" s="8">
        <v>-47205</v>
      </c>
      <c r="D39" s="8">
        <v>-44867</v>
      </c>
      <c r="E39" s="8">
        <v>32000</v>
      </c>
      <c r="F39" s="8">
        <v>172000</v>
      </c>
    </row>
    <row r="40" spans="1:6" x14ac:dyDescent="0.15">
      <c r="A40" s="7" t="s">
        <v>250</v>
      </c>
      <c r="B40" s="8">
        <v>901565</v>
      </c>
      <c r="C40" s="8">
        <v>323805</v>
      </c>
      <c r="D40" s="8">
        <v>461631</v>
      </c>
      <c r="E40" s="8">
        <v>453000</v>
      </c>
      <c r="F40" s="8">
        <v>603000</v>
      </c>
    </row>
    <row r="41" spans="1:6" x14ac:dyDescent="0.15">
      <c r="A41" s="7" t="s">
        <v>251</v>
      </c>
      <c r="B41" s="8">
        <v>925962</v>
      </c>
      <c r="C41" s="8">
        <v>276600</v>
      </c>
      <c r="D41" s="8">
        <v>416764</v>
      </c>
      <c r="E41" s="8">
        <v>485000</v>
      </c>
      <c r="F41" s="8">
        <v>775000</v>
      </c>
    </row>
    <row r="42" spans="1:6" x14ac:dyDescent="0.15">
      <c r="A42" s="7" t="s">
        <v>252</v>
      </c>
      <c r="B42" s="8">
        <v>154050</v>
      </c>
      <c r="C42" s="8">
        <v>-41418</v>
      </c>
      <c r="D42" s="8">
        <v>12671</v>
      </c>
      <c r="E42" s="8">
        <v>186000</v>
      </c>
      <c r="F42" s="8">
        <v>76000</v>
      </c>
    </row>
    <row r="43" spans="1:6" x14ac:dyDescent="0.15">
      <c r="A43" s="7" t="s">
        <v>253</v>
      </c>
      <c r="B43" s="8">
        <v>1440</v>
      </c>
      <c r="C43" s="8">
        <v>5875</v>
      </c>
      <c r="D43" s="8">
        <v>5862</v>
      </c>
      <c r="E43" s="8">
        <v>42000</v>
      </c>
      <c r="F43" s="8">
        <v>20000</v>
      </c>
    </row>
    <row r="44" spans="1:6" x14ac:dyDescent="0.15">
      <c r="A44" s="7" t="s">
        <v>254</v>
      </c>
      <c r="B44" s="8">
        <v>69359</v>
      </c>
      <c r="C44" s="8">
        <v>64946</v>
      </c>
      <c r="D44" s="8">
        <v>130180</v>
      </c>
      <c r="E44" s="8">
        <v>167000</v>
      </c>
      <c r="F44" s="8">
        <v>198000</v>
      </c>
    </row>
    <row r="45" spans="1:6" x14ac:dyDescent="0.15">
      <c r="A45" s="7" t="s">
        <v>255</v>
      </c>
      <c r="B45" s="8">
        <v>224849</v>
      </c>
      <c r="C45" s="8">
        <v>29403</v>
      </c>
      <c r="D45" s="8">
        <v>148713</v>
      </c>
      <c r="E45" s="8">
        <v>395000</v>
      </c>
      <c r="F45" s="8">
        <v>294000</v>
      </c>
    </row>
    <row r="46" spans="1:6" x14ac:dyDescent="0.15">
      <c r="A46" s="7" t="s">
        <v>256</v>
      </c>
      <c r="B46" s="8">
        <v>-6865</v>
      </c>
      <c r="C46" s="8">
        <v>-5166</v>
      </c>
      <c r="D46" s="8">
        <v>-93842</v>
      </c>
      <c r="E46" s="8">
        <v>-273000</v>
      </c>
      <c r="F46" s="8">
        <v>-53000</v>
      </c>
    </row>
    <row r="47" spans="1:6" x14ac:dyDescent="0.15">
      <c r="A47" s="7" t="s">
        <v>257</v>
      </c>
      <c r="B47" s="8">
        <v>2156</v>
      </c>
      <c r="C47" s="8">
        <v>-2863</v>
      </c>
      <c r="D47" s="8">
        <v>-891</v>
      </c>
      <c r="E47" s="8">
        <v>-25000</v>
      </c>
      <c r="F47" s="8">
        <v>-9000</v>
      </c>
    </row>
    <row r="48" spans="1:6" x14ac:dyDescent="0.15">
      <c r="A48" s="7" t="s">
        <v>258</v>
      </c>
      <c r="B48" s="8">
        <v>-16926</v>
      </c>
      <c r="C48" s="8">
        <v>-6059</v>
      </c>
      <c r="D48" s="8">
        <v>-8575</v>
      </c>
      <c r="E48" s="8">
        <v>-10000</v>
      </c>
      <c r="F48" s="8">
        <v>-29000</v>
      </c>
    </row>
    <row r="49" spans="1:6" x14ac:dyDescent="0.15">
      <c r="A49" s="7" t="s">
        <v>259</v>
      </c>
      <c r="B49" s="8">
        <v>-21635</v>
      </c>
      <c r="C49" s="8">
        <v>-14088</v>
      </c>
      <c r="D49" s="8">
        <v>-103308</v>
      </c>
      <c r="E49" s="8">
        <v>-308000</v>
      </c>
      <c r="F49" s="8">
        <v>-91000</v>
      </c>
    </row>
    <row r="50" spans="1:6" x14ac:dyDescent="0.15">
      <c r="A50" s="7" t="s">
        <v>260</v>
      </c>
      <c r="B50" s="8">
        <v>203214</v>
      </c>
      <c r="C50" s="8">
        <v>15315</v>
      </c>
      <c r="D50" s="8">
        <v>45405</v>
      </c>
      <c r="E50" s="8">
        <v>87000</v>
      </c>
      <c r="F50" s="8">
        <v>203000</v>
      </c>
    </row>
    <row r="51" spans="1:6" x14ac:dyDescent="0.15">
      <c r="A51" s="7" t="s">
        <v>261</v>
      </c>
      <c r="B51" s="8">
        <v>722748</v>
      </c>
      <c r="C51" s="8">
        <v>261285</v>
      </c>
      <c r="D51" s="8">
        <v>371359</v>
      </c>
      <c r="E51" s="8">
        <v>398000</v>
      </c>
      <c r="F51" s="8">
        <v>572000</v>
      </c>
    </row>
    <row r="52" spans="1:6" x14ac:dyDescent="0.15">
      <c r="A52" s="7" t="s">
        <v>262</v>
      </c>
      <c r="B52" s="8">
        <v>41717</v>
      </c>
      <c r="C52" s="8">
        <v>20563</v>
      </c>
      <c r="D52" s="8">
        <v>6605</v>
      </c>
      <c r="E52" s="8">
        <v>8000</v>
      </c>
      <c r="F52" s="8">
        <v>-7000</v>
      </c>
    </row>
    <row r="53" spans="1:6" x14ac:dyDescent="0.15">
      <c r="A53" s="7" t="s">
        <v>263</v>
      </c>
      <c r="B53" s="8">
        <v>764465</v>
      </c>
      <c r="C53" s="8">
        <v>281848</v>
      </c>
      <c r="D53" s="8">
        <v>377964</v>
      </c>
      <c r="E53" s="8">
        <v>406000</v>
      </c>
      <c r="F53" s="8">
        <v>565000</v>
      </c>
    </row>
    <row r="54" spans="1:6" x14ac:dyDescent="0.15">
      <c r="A54" s="7" t="s">
        <v>264</v>
      </c>
      <c r="B54" s="8">
        <v>130159</v>
      </c>
      <c r="C54" s="8">
        <v>150367</v>
      </c>
      <c r="D54" s="8">
        <v>151619</v>
      </c>
      <c r="E54" s="8">
        <v>149961</v>
      </c>
      <c r="F54" s="8">
        <v>147194</v>
      </c>
    </row>
    <row r="55" spans="1:6" x14ac:dyDescent="0.15">
      <c r="A55" s="7" t="s">
        <v>265</v>
      </c>
      <c r="B55" s="8">
        <v>134018</v>
      </c>
      <c r="C55" s="8">
        <v>154517</v>
      </c>
      <c r="D55" s="8">
        <v>156385</v>
      </c>
      <c r="E55" s="8">
        <v>152889</v>
      </c>
      <c r="F55" s="8">
        <v>149884</v>
      </c>
    </row>
    <row r="56" spans="1:6" x14ac:dyDescent="0.15">
      <c r="A56" s="7" t="s">
        <v>266</v>
      </c>
      <c r="B56" s="8">
        <v>150259</v>
      </c>
      <c r="C56" s="8">
        <v>150032</v>
      </c>
      <c r="D56" s="8">
        <v>151739</v>
      </c>
      <c r="E56" s="8">
        <v>147134</v>
      </c>
      <c r="F56" s="8">
        <v>142599</v>
      </c>
    </row>
    <row r="57" spans="1:6" x14ac:dyDescent="0.15">
      <c r="A57" s="7" t="s">
        <v>267</v>
      </c>
      <c r="B57" s="10">
        <v>5.87</v>
      </c>
      <c r="C57" s="10">
        <v>1.87</v>
      </c>
      <c r="D57" s="10">
        <v>2.4900000000000002</v>
      </c>
      <c r="E57" s="10">
        <v>2.71</v>
      </c>
      <c r="F57" s="10">
        <v>3.84</v>
      </c>
    </row>
    <row r="58" spans="1:6" x14ac:dyDescent="0.15">
      <c r="A58" s="7" t="s">
        <v>268</v>
      </c>
      <c r="B58" s="11">
        <v>5.7</v>
      </c>
      <c r="C58" s="10">
        <v>1.82</v>
      </c>
      <c r="D58" s="10">
        <v>2.42</v>
      </c>
      <c r="E58" s="10">
        <v>2.65</v>
      </c>
      <c r="F58" s="10">
        <v>3.77</v>
      </c>
    </row>
    <row r="59" spans="1:6" x14ac:dyDescent="0.15">
      <c r="A59" s="7" t="s">
        <v>269</v>
      </c>
      <c r="B59" s="9" t="s">
        <v>6</v>
      </c>
      <c r="C59" s="9" t="s">
        <v>6</v>
      </c>
      <c r="D59" s="9" t="s">
        <v>6</v>
      </c>
      <c r="E59" s="10">
        <v>1.24</v>
      </c>
      <c r="F59" s="10">
        <v>1.32</v>
      </c>
    </row>
    <row r="60" spans="1:6" x14ac:dyDescent="0.15">
      <c r="A60" s="7" t="s">
        <v>270</v>
      </c>
      <c r="B60" s="8">
        <v>18730</v>
      </c>
      <c r="C60" s="8">
        <v>20075</v>
      </c>
      <c r="D60" s="8">
        <v>22615</v>
      </c>
      <c r="E60" s="8">
        <v>24500</v>
      </c>
      <c r="F60" s="8">
        <v>25400</v>
      </c>
    </row>
    <row r="61" spans="1:6" x14ac:dyDescent="0.15">
      <c r="A61" s="7" t="s">
        <v>271</v>
      </c>
      <c r="B61" s="8">
        <v>2650</v>
      </c>
      <c r="C61" s="8">
        <v>2360</v>
      </c>
      <c r="D61" s="8">
        <v>2110</v>
      </c>
      <c r="E61" s="8">
        <v>2014</v>
      </c>
      <c r="F61" s="8">
        <v>2729</v>
      </c>
    </row>
    <row r="62" spans="1:6" x14ac:dyDescent="0.15">
      <c r="A62" s="7" t="s">
        <v>272</v>
      </c>
      <c r="B62" s="8">
        <v>1</v>
      </c>
      <c r="C62" s="8">
        <v>1</v>
      </c>
      <c r="D62" s="8">
        <v>1</v>
      </c>
      <c r="E62" s="8">
        <v>1</v>
      </c>
      <c r="F62" s="8">
        <v>1</v>
      </c>
    </row>
    <row r="63" spans="1:6" x14ac:dyDescent="0.15">
      <c r="A63" s="7" t="s">
        <v>273</v>
      </c>
      <c r="B63" s="8">
        <v>-147815</v>
      </c>
      <c r="C63" s="8">
        <v>-10217</v>
      </c>
      <c r="D63" s="8">
        <v>189580</v>
      </c>
      <c r="E63" s="8">
        <v>-86000</v>
      </c>
      <c r="F63" s="8">
        <v>-5000</v>
      </c>
    </row>
  </sheetData>
  <pageMargins left="0.7" right="0.7" top="0.75" bottom="0.75" header="0.3" footer="0.3"/>
  <drawing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4:F73"/>
  <sheetViews>
    <sheetView zoomScale="140" zoomScaleNormal="140" workbookViewId="0">
      <selection activeCell="F22" sqref="F22"/>
    </sheetView>
  </sheetViews>
  <sheetFormatPr baseColWidth="10" defaultColWidth="8.83203125" defaultRowHeight="13" x14ac:dyDescent="0.15"/>
  <cols>
    <col min="1" max="1" width="50" customWidth="1"/>
    <col min="2" max="192" width="12" customWidth="1"/>
  </cols>
  <sheetData>
    <row r="4" spans="1:6" x14ac:dyDescent="0.15">
      <c r="A4" s="1" t="s">
        <v>168</v>
      </c>
    </row>
    <row r="5" spans="1:6" ht="20" x14ac:dyDescent="0.2">
      <c r="A5" s="2" t="s">
        <v>169</v>
      </c>
    </row>
    <row r="7" spans="1:6" ht="14" x14ac:dyDescent="0.15">
      <c r="A7" s="3" t="s">
        <v>170</v>
      </c>
    </row>
    <row r="10" spans="1:6" ht="14" x14ac:dyDescent="0.15">
      <c r="A10" s="4" t="s">
        <v>274</v>
      </c>
    </row>
    <row r="11" spans="1:6" x14ac:dyDescent="0.15">
      <c r="A11" s="5" t="s">
        <v>172</v>
      </c>
      <c r="B11" s="6">
        <v>2015</v>
      </c>
      <c r="C11" s="6">
        <v>2016</v>
      </c>
      <c r="D11" s="6">
        <v>2017</v>
      </c>
      <c r="E11" s="6">
        <v>2018</v>
      </c>
      <c r="F11" s="6">
        <v>2019</v>
      </c>
    </row>
    <row r="12" spans="1:6" ht="14" x14ac:dyDescent="0.15">
      <c r="A12" s="5" t="s">
        <v>173</v>
      </c>
      <c r="B12" s="6" t="s">
        <v>174</v>
      </c>
      <c r="C12" s="6" t="s">
        <v>174</v>
      </c>
      <c r="D12" s="6" t="s">
        <v>174</v>
      </c>
      <c r="E12" s="6" t="s">
        <v>174</v>
      </c>
      <c r="F12" s="6" t="s">
        <v>174</v>
      </c>
    </row>
    <row r="13" spans="1:6" ht="14" x14ac:dyDescent="0.15">
      <c r="A13" s="5" t="s">
        <v>175</v>
      </c>
      <c r="B13" s="6" t="s">
        <v>176</v>
      </c>
      <c r="C13" s="6" t="s">
        <v>176</v>
      </c>
      <c r="D13" s="6" t="s">
        <v>176</v>
      </c>
      <c r="E13" s="6" t="s">
        <v>177</v>
      </c>
      <c r="F13" s="6" t="s">
        <v>176</v>
      </c>
    </row>
    <row r="14" spans="1:6" ht="14" x14ac:dyDescent="0.15">
      <c r="A14" s="5" t="s">
        <v>178</v>
      </c>
      <c r="B14" s="6" t="s">
        <v>179</v>
      </c>
      <c r="C14" s="6" t="s">
        <v>179</v>
      </c>
      <c r="D14" s="6" t="s">
        <v>179</v>
      </c>
      <c r="E14" s="6" t="s">
        <v>179</v>
      </c>
      <c r="F14" s="6" t="s">
        <v>179</v>
      </c>
    </row>
    <row r="15" spans="1:6" ht="14" x14ac:dyDescent="0.15">
      <c r="A15" s="5" t="s">
        <v>180</v>
      </c>
      <c r="B15" s="6" t="s">
        <v>181</v>
      </c>
      <c r="C15" s="6" t="s">
        <v>181</v>
      </c>
      <c r="D15" s="6" t="s">
        <v>181</v>
      </c>
      <c r="E15" s="6" t="s">
        <v>181</v>
      </c>
      <c r="F15" s="6" t="s">
        <v>181</v>
      </c>
    </row>
    <row r="16" spans="1:6" x14ac:dyDescent="0.15">
      <c r="A16" s="7" t="s">
        <v>261</v>
      </c>
      <c r="B16" s="8">
        <v>722748</v>
      </c>
      <c r="C16" s="8">
        <v>261285</v>
      </c>
      <c r="D16" s="8">
        <v>371359</v>
      </c>
      <c r="E16" s="8">
        <v>398000</v>
      </c>
      <c r="F16" s="8">
        <v>572000</v>
      </c>
    </row>
    <row r="17" spans="1:6" x14ac:dyDescent="0.15">
      <c r="A17" s="7" t="s">
        <v>275</v>
      </c>
      <c r="B17" s="8">
        <v>336680</v>
      </c>
      <c r="C17" s="8">
        <v>477061</v>
      </c>
      <c r="D17" s="8">
        <v>614099</v>
      </c>
      <c r="E17" s="8">
        <v>676000</v>
      </c>
      <c r="F17" s="8">
        <v>712000</v>
      </c>
    </row>
    <row r="18" spans="1:6" x14ac:dyDescent="0.15">
      <c r="A18" s="7" t="s">
        <v>276</v>
      </c>
      <c r="B18" s="8">
        <v>178068</v>
      </c>
      <c r="C18" s="8">
        <v>242417</v>
      </c>
      <c r="D18" s="8">
        <v>149350</v>
      </c>
      <c r="E18" s="8">
        <v>203000</v>
      </c>
      <c r="F18" s="8">
        <v>241000</v>
      </c>
    </row>
    <row r="19" spans="1:6" x14ac:dyDescent="0.15">
      <c r="A19" s="7" t="s">
        <v>277</v>
      </c>
      <c r="B19" s="9" t="s">
        <v>6</v>
      </c>
      <c r="C19" s="9" t="s">
        <v>6</v>
      </c>
      <c r="D19" s="9" t="s">
        <v>6</v>
      </c>
      <c r="E19" s="8">
        <v>325000</v>
      </c>
      <c r="F19" s="8">
        <v>198000</v>
      </c>
    </row>
    <row r="20" spans="1:6" x14ac:dyDescent="0.15">
      <c r="A20" s="7" t="s">
        <v>232</v>
      </c>
      <c r="B20" s="9" t="s">
        <v>6</v>
      </c>
      <c r="C20" s="9" t="s">
        <v>6</v>
      </c>
      <c r="D20" s="9" t="s">
        <v>6</v>
      </c>
      <c r="E20" s="8">
        <v>86000</v>
      </c>
      <c r="F20" s="9" t="s">
        <v>6</v>
      </c>
    </row>
    <row r="21" spans="1:6" x14ac:dyDescent="0.15">
      <c r="A21" s="7" t="s">
        <v>231</v>
      </c>
      <c r="B21" s="8">
        <v>163665</v>
      </c>
      <c r="C21" s="8">
        <v>317141</v>
      </c>
      <c r="D21" s="8">
        <v>275445</v>
      </c>
      <c r="E21" s="251">
        <v>0</v>
      </c>
      <c r="F21" s="251">
        <v>0</v>
      </c>
    </row>
    <row r="22" spans="1:6" x14ac:dyDescent="0.15">
      <c r="A22" s="7" t="s">
        <v>233</v>
      </c>
      <c r="B22" s="9" t="s">
        <v>6</v>
      </c>
      <c r="C22" s="8">
        <v>34890</v>
      </c>
      <c r="D22" s="9" t="s">
        <v>6</v>
      </c>
      <c r="E22" s="9" t="s">
        <v>6</v>
      </c>
      <c r="F22" s="9" t="s">
        <v>6</v>
      </c>
    </row>
    <row r="23" spans="1:6" x14ac:dyDescent="0.15">
      <c r="A23" s="7" t="s">
        <v>202</v>
      </c>
      <c r="B23" s="8">
        <v>-21635</v>
      </c>
      <c r="C23" s="8">
        <v>-14088</v>
      </c>
      <c r="D23" s="8">
        <v>-103308</v>
      </c>
      <c r="E23" s="8">
        <v>-308000</v>
      </c>
      <c r="F23" s="8">
        <v>-91000</v>
      </c>
    </row>
    <row r="24" spans="1:6" x14ac:dyDescent="0.15">
      <c r="A24" s="7" t="s">
        <v>278</v>
      </c>
      <c r="B24" s="9" t="s">
        <v>6</v>
      </c>
      <c r="C24" s="9" t="s">
        <v>6</v>
      </c>
      <c r="D24" s="9" t="s">
        <v>6</v>
      </c>
      <c r="E24" s="8">
        <v>111000</v>
      </c>
      <c r="F24" s="8">
        <v>-5000</v>
      </c>
    </row>
    <row r="25" spans="1:6" x14ac:dyDescent="0.15">
      <c r="A25" s="7" t="s">
        <v>279</v>
      </c>
      <c r="B25" s="8">
        <v>88528</v>
      </c>
      <c r="C25" s="8">
        <v>16253</v>
      </c>
      <c r="D25" s="8">
        <v>-78819</v>
      </c>
      <c r="E25" s="9" t="s">
        <v>6</v>
      </c>
      <c r="F25" s="9" t="s">
        <v>6</v>
      </c>
    </row>
    <row r="26" spans="1:6" x14ac:dyDescent="0.15">
      <c r="A26" s="7" t="s">
        <v>280</v>
      </c>
      <c r="B26" s="8">
        <v>-54226</v>
      </c>
      <c r="C26" s="8">
        <v>53089</v>
      </c>
      <c r="D26" s="8">
        <v>-6335</v>
      </c>
      <c r="E26" s="8">
        <v>-31000</v>
      </c>
      <c r="F26" s="8">
        <v>-22000</v>
      </c>
    </row>
    <row r="27" spans="1:6" x14ac:dyDescent="0.15">
      <c r="A27" s="7" t="s">
        <v>281</v>
      </c>
      <c r="B27" s="9" t="s">
        <v>6</v>
      </c>
      <c r="C27" s="9" t="s">
        <v>6</v>
      </c>
      <c r="D27" s="9" t="s">
        <v>6</v>
      </c>
      <c r="E27" s="8">
        <v>111000</v>
      </c>
      <c r="F27" s="8">
        <v>-8000</v>
      </c>
    </row>
    <row r="28" spans="1:6" x14ac:dyDescent="0.15">
      <c r="A28" s="7" t="s">
        <v>282</v>
      </c>
      <c r="B28" s="8">
        <v>-508810</v>
      </c>
      <c r="C28" s="9" t="s">
        <v>6</v>
      </c>
      <c r="D28" s="9" t="s">
        <v>6</v>
      </c>
      <c r="E28" s="9" t="s">
        <v>6</v>
      </c>
      <c r="F28" s="9" t="s">
        <v>6</v>
      </c>
    </row>
    <row r="29" spans="1:6" x14ac:dyDescent="0.15">
      <c r="A29" s="7" t="s">
        <v>283</v>
      </c>
      <c r="B29" s="8">
        <v>-77400</v>
      </c>
      <c r="C29" s="9" t="s">
        <v>6</v>
      </c>
      <c r="D29" s="8">
        <v>-1678</v>
      </c>
      <c r="E29" s="9" t="s">
        <v>6</v>
      </c>
      <c r="F29" s="9" t="s">
        <v>6</v>
      </c>
    </row>
    <row r="30" spans="1:6" x14ac:dyDescent="0.15">
      <c r="A30" s="7" t="s">
        <v>284</v>
      </c>
      <c r="B30" s="8">
        <v>15865</v>
      </c>
      <c r="C30" s="8">
        <v>7555</v>
      </c>
      <c r="D30" s="8">
        <v>-13660</v>
      </c>
      <c r="E30" s="8">
        <v>22000</v>
      </c>
      <c r="F30" s="8">
        <v>-21000</v>
      </c>
    </row>
    <row r="31" spans="1:6" x14ac:dyDescent="0.15">
      <c r="A31" s="7" t="s">
        <v>285</v>
      </c>
      <c r="B31" s="8">
        <v>-198262</v>
      </c>
      <c r="C31" s="8">
        <v>-276154</v>
      </c>
      <c r="D31" s="8">
        <v>-455668</v>
      </c>
      <c r="E31" s="8">
        <v>-282000</v>
      </c>
      <c r="F31" s="8">
        <v>-368000</v>
      </c>
    </row>
    <row r="32" spans="1:6" x14ac:dyDescent="0.15">
      <c r="A32" s="7" t="s">
        <v>286</v>
      </c>
      <c r="B32" s="9" t="s">
        <v>6</v>
      </c>
      <c r="C32" s="9" t="s">
        <v>6</v>
      </c>
      <c r="D32" s="9" t="s">
        <v>6</v>
      </c>
      <c r="E32" s="8">
        <v>-29000</v>
      </c>
      <c r="F32" s="8">
        <v>-193000</v>
      </c>
    </row>
    <row r="33" spans="1:6" x14ac:dyDescent="0.15">
      <c r="A33" s="7" t="s">
        <v>189</v>
      </c>
      <c r="B33" s="8">
        <v>97701</v>
      </c>
      <c r="C33" s="8">
        <v>-30198</v>
      </c>
      <c r="D33" s="8">
        <v>-116768</v>
      </c>
      <c r="E33" s="9" t="s">
        <v>6</v>
      </c>
      <c r="F33" s="9" t="s">
        <v>6</v>
      </c>
    </row>
    <row r="34" spans="1:6" x14ac:dyDescent="0.15">
      <c r="A34" s="7" t="s">
        <v>206</v>
      </c>
      <c r="B34" s="8">
        <v>97248</v>
      </c>
      <c r="C34" s="8">
        <v>184398</v>
      </c>
      <c r="D34" s="8">
        <v>315989</v>
      </c>
      <c r="E34" s="8">
        <v>-134000</v>
      </c>
      <c r="F34" s="8">
        <v>224000</v>
      </c>
    </row>
    <row r="35" spans="1:6" x14ac:dyDescent="0.15">
      <c r="A35" s="7" t="s">
        <v>287</v>
      </c>
      <c r="B35" s="8">
        <v>194458</v>
      </c>
      <c r="C35" s="8">
        <v>79202</v>
      </c>
      <c r="D35" s="8">
        <v>256728</v>
      </c>
      <c r="E35" s="8">
        <v>196000</v>
      </c>
      <c r="F35" s="8">
        <v>254000</v>
      </c>
    </row>
    <row r="36" spans="1:6" x14ac:dyDescent="0.15">
      <c r="A36" s="7" t="s">
        <v>288</v>
      </c>
      <c r="B36" s="8">
        <v>39776</v>
      </c>
      <c r="C36" s="8">
        <v>-100525</v>
      </c>
      <c r="D36" s="8">
        <v>-30577</v>
      </c>
      <c r="E36" s="8">
        <v>102000</v>
      </c>
      <c r="F36" s="8">
        <v>-23000</v>
      </c>
    </row>
    <row r="37" spans="1:6" x14ac:dyDescent="0.15">
      <c r="A37" s="7" t="s">
        <v>208</v>
      </c>
      <c r="B37" s="8">
        <v>299534</v>
      </c>
      <c r="C37" s="8">
        <v>261402</v>
      </c>
      <c r="D37" s="8">
        <v>592912</v>
      </c>
      <c r="E37" s="8">
        <v>489000</v>
      </c>
      <c r="F37" s="8">
        <v>1342000</v>
      </c>
    </row>
    <row r="38" spans="1:6" x14ac:dyDescent="0.15">
      <c r="A38" s="7" t="s">
        <v>209</v>
      </c>
      <c r="B38" s="8">
        <v>-5893</v>
      </c>
      <c r="C38" s="8">
        <v>50606</v>
      </c>
      <c r="D38" s="8">
        <v>30085</v>
      </c>
      <c r="E38" s="8">
        <v>40000</v>
      </c>
      <c r="F38" s="8">
        <v>-45000</v>
      </c>
    </row>
    <row r="39" spans="1:6" x14ac:dyDescent="0.15">
      <c r="A39" s="7" t="s">
        <v>289</v>
      </c>
      <c r="B39" s="8">
        <v>1368045</v>
      </c>
      <c r="C39" s="8">
        <v>1564334</v>
      </c>
      <c r="D39" s="8">
        <v>1799154</v>
      </c>
      <c r="E39" s="8">
        <v>1975000</v>
      </c>
      <c r="F39" s="8">
        <v>2767000</v>
      </c>
    </row>
    <row r="40" spans="1:6" x14ac:dyDescent="0.15">
      <c r="A40" s="7" t="s">
        <v>290</v>
      </c>
      <c r="B40" s="8">
        <v>-787041</v>
      </c>
      <c r="C40" s="8">
        <v>-749348</v>
      </c>
      <c r="D40" s="8">
        <v>-710330</v>
      </c>
      <c r="E40" s="8">
        <v>-878000</v>
      </c>
      <c r="F40" s="8">
        <v>-1160000</v>
      </c>
    </row>
    <row r="41" spans="1:6" x14ac:dyDescent="0.15">
      <c r="A41" s="7" t="s">
        <v>291</v>
      </c>
      <c r="B41" s="8">
        <v>-521329</v>
      </c>
      <c r="C41" s="8">
        <v>-45352</v>
      </c>
      <c r="D41" s="8">
        <v>-1811355</v>
      </c>
      <c r="E41" s="8">
        <v>-1803000</v>
      </c>
      <c r="F41" s="8">
        <v>-1346000</v>
      </c>
    </row>
    <row r="42" spans="1:6" x14ac:dyDescent="0.15">
      <c r="A42" s="7" t="s">
        <v>292</v>
      </c>
      <c r="B42" s="8">
        <v>410923</v>
      </c>
      <c r="C42" s="8">
        <v>60935</v>
      </c>
      <c r="D42" s="8">
        <v>1096404</v>
      </c>
      <c r="E42" s="8">
        <v>2137000</v>
      </c>
      <c r="F42" s="8">
        <v>852000</v>
      </c>
    </row>
    <row r="43" spans="1:6" x14ac:dyDescent="0.15">
      <c r="A43" s="7" t="s">
        <v>293</v>
      </c>
      <c r="B43" s="9" t="s">
        <v>6</v>
      </c>
      <c r="C43" s="9" t="s">
        <v>6</v>
      </c>
      <c r="D43" s="9" t="s">
        <v>6</v>
      </c>
      <c r="E43" s="8">
        <v>-53000</v>
      </c>
      <c r="F43" s="8">
        <v>80000</v>
      </c>
    </row>
    <row r="44" spans="1:6" x14ac:dyDescent="0.15">
      <c r="A44" s="7" t="s">
        <v>294</v>
      </c>
      <c r="B44" s="8">
        <v>-2063649</v>
      </c>
      <c r="C44" s="8">
        <v>-777</v>
      </c>
      <c r="D44" s="8">
        <v>-170639</v>
      </c>
      <c r="E44" s="9" t="s">
        <v>6</v>
      </c>
      <c r="F44" s="9" t="s">
        <v>6</v>
      </c>
    </row>
    <row r="45" spans="1:6" x14ac:dyDescent="0.15">
      <c r="A45" s="7" t="s">
        <v>295</v>
      </c>
      <c r="B45" s="8">
        <v>523882</v>
      </c>
      <c r="C45" s="8">
        <v>67088</v>
      </c>
      <c r="D45" s="9" t="s">
        <v>6</v>
      </c>
      <c r="E45" s="9" t="s">
        <v>6</v>
      </c>
      <c r="F45" s="9" t="s">
        <v>6</v>
      </c>
    </row>
    <row r="46" spans="1:6" x14ac:dyDescent="0.15">
      <c r="A46" s="7" t="s">
        <v>296</v>
      </c>
      <c r="B46" s="8">
        <v>54226</v>
      </c>
      <c r="C46" s="8">
        <v>-53089</v>
      </c>
      <c r="D46" s="8">
        <v>6335</v>
      </c>
      <c r="E46" s="9" t="s">
        <v>6</v>
      </c>
      <c r="F46" s="9" t="s">
        <v>6</v>
      </c>
    </row>
    <row r="47" spans="1:6" x14ac:dyDescent="0.15">
      <c r="A47" s="7" t="s">
        <v>297</v>
      </c>
      <c r="B47" s="8">
        <v>11728</v>
      </c>
      <c r="C47" s="8">
        <v>2222</v>
      </c>
      <c r="D47" s="8">
        <v>7195</v>
      </c>
      <c r="E47" s="8">
        <v>38000</v>
      </c>
      <c r="F47" s="8">
        <v>21000</v>
      </c>
    </row>
    <row r="48" spans="1:6" x14ac:dyDescent="0.15">
      <c r="A48" s="7" t="s">
        <v>298</v>
      </c>
      <c r="B48" s="8">
        <v>-2371260</v>
      </c>
      <c r="C48" s="8">
        <v>-718321</v>
      </c>
      <c r="D48" s="8">
        <v>-1582390</v>
      </c>
      <c r="E48" s="8">
        <v>-559000</v>
      </c>
      <c r="F48" s="8">
        <v>-1553000</v>
      </c>
    </row>
    <row r="49" spans="1:6" x14ac:dyDescent="0.15">
      <c r="A49" s="7" t="s">
        <v>299</v>
      </c>
      <c r="B49" s="9" t="s">
        <v>6</v>
      </c>
      <c r="C49" s="9" t="s">
        <v>6</v>
      </c>
      <c r="D49" s="9" t="s">
        <v>6</v>
      </c>
      <c r="E49" s="8">
        <v>-500000</v>
      </c>
      <c r="F49" s="9" t="s">
        <v>6</v>
      </c>
    </row>
    <row r="50" spans="1:6" x14ac:dyDescent="0.15">
      <c r="A50" s="7" t="s">
        <v>300</v>
      </c>
      <c r="B50" s="9" t="s">
        <v>6</v>
      </c>
      <c r="C50" s="9" t="s">
        <v>6</v>
      </c>
      <c r="D50" s="9" t="s">
        <v>6</v>
      </c>
      <c r="E50" s="9" t="s">
        <v>6</v>
      </c>
      <c r="F50" s="8">
        <v>-400000</v>
      </c>
    </row>
    <row r="51" spans="1:6" x14ac:dyDescent="0.15">
      <c r="A51" s="7" t="s">
        <v>301</v>
      </c>
      <c r="B51" s="8">
        <v>1441860</v>
      </c>
      <c r="C51" s="8">
        <v>-2093</v>
      </c>
      <c r="D51" s="8">
        <v>989600</v>
      </c>
      <c r="E51" s="9" t="s">
        <v>6</v>
      </c>
      <c r="F51" s="9" t="s">
        <v>6</v>
      </c>
    </row>
    <row r="52" spans="1:6" x14ac:dyDescent="0.15">
      <c r="A52" s="7" t="s">
        <v>302</v>
      </c>
      <c r="B52" s="9" t="s">
        <v>6</v>
      </c>
      <c r="C52" s="8">
        <v>-401424</v>
      </c>
      <c r="D52" s="9" t="s">
        <v>6</v>
      </c>
      <c r="E52" s="9" t="s">
        <v>6</v>
      </c>
      <c r="F52" s="9" t="s">
        <v>6</v>
      </c>
    </row>
    <row r="53" spans="1:6" x14ac:dyDescent="0.15">
      <c r="A53" s="7" t="s">
        <v>303</v>
      </c>
      <c r="B53" s="8">
        <v>-60546</v>
      </c>
      <c r="C53" s="8">
        <v>-455746</v>
      </c>
      <c r="D53" s="8">
        <v>-312089</v>
      </c>
      <c r="E53" s="8">
        <v>-923000</v>
      </c>
      <c r="F53" s="8">
        <v>-743000</v>
      </c>
    </row>
    <row r="54" spans="1:6" x14ac:dyDescent="0.15">
      <c r="A54" s="7" t="s">
        <v>304</v>
      </c>
      <c r="B54" s="8">
        <v>22575</v>
      </c>
      <c r="C54" s="9" t="s">
        <v>6</v>
      </c>
      <c r="D54" s="9" t="s">
        <v>6</v>
      </c>
      <c r="E54" s="8">
        <v>31000</v>
      </c>
      <c r="F54" s="9" t="s">
        <v>6</v>
      </c>
    </row>
    <row r="55" spans="1:6" x14ac:dyDescent="0.15">
      <c r="A55" s="7" t="s">
        <v>305</v>
      </c>
      <c r="B55" s="8">
        <v>-108527</v>
      </c>
      <c r="C55" s="8">
        <v>-150159</v>
      </c>
      <c r="D55" s="8">
        <v>-175775</v>
      </c>
      <c r="E55" s="8">
        <v>-186000</v>
      </c>
      <c r="F55" s="8">
        <v>-195000</v>
      </c>
    </row>
    <row r="56" spans="1:6" x14ac:dyDescent="0.15">
      <c r="A56" s="7" t="s">
        <v>306</v>
      </c>
      <c r="B56" s="9" t="s">
        <v>6</v>
      </c>
      <c r="C56" s="9" t="s">
        <v>6</v>
      </c>
      <c r="D56" s="9" t="s">
        <v>6</v>
      </c>
      <c r="E56" s="9" t="s">
        <v>6</v>
      </c>
      <c r="F56" s="8">
        <v>1231000</v>
      </c>
    </row>
    <row r="57" spans="1:6" x14ac:dyDescent="0.15">
      <c r="A57" s="7" t="s">
        <v>307</v>
      </c>
      <c r="B57" s="8">
        <v>97716</v>
      </c>
      <c r="C57" s="8">
        <v>141043</v>
      </c>
      <c r="D57" s="8">
        <v>229081</v>
      </c>
      <c r="E57" s="8">
        <v>166000</v>
      </c>
      <c r="F57" s="8">
        <v>301000</v>
      </c>
    </row>
    <row r="58" spans="1:6" x14ac:dyDescent="0.15">
      <c r="A58" s="7" t="s">
        <v>308</v>
      </c>
      <c r="B58" s="9" t="s">
        <v>6</v>
      </c>
      <c r="C58" s="8">
        <v>208016</v>
      </c>
      <c r="D58" s="8">
        <v>-18137</v>
      </c>
      <c r="E58" s="8">
        <v>-62000</v>
      </c>
      <c r="F58" s="8">
        <v>-28000</v>
      </c>
    </row>
    <row r="59" spans="1:6" x14ac:dyDescent="0.15">
      <c r="A59" s="7" t="s">
        <v>309</v>
      </c>
      <c r="B59" s="8">
        <v>90855</v>
      </c>
      <c r="C59" s="9" t="s">
        <v>6</v>
      </c>
      <c r="D59" s="9" t="s">
        <v>6</v>
      </c>
      <c r="E59" s="9" t="s">
        <v>6</v>
      </c>
      <c r="F59" s="9" t="s">
        <v>6</v>
      </c>
    </row>
    <row r="60" spans="1:6" x14ac:dyDescent="0.15">
      <c r="A60" s="7" t="s">
        <v>310</v>
      </c>
      <c r="B60" s="8">
        <v>-85033</v>
      </c>
      <c r="C60" s="8">
        <v>-1282</v>
      </c>
      <c r="D60" s="8">
        <v>-9063</v>
      </c>
      <c r="E60" s="9" t="s">
        <v>6</v>
      </c>
      <c r="F60" s="9" t="s">
        <v>6</v>
      </c>
    </row>
    <row r="61" spans="1:6" x14ac:dyDescent="0.15">
      <c r="A61" s="7" t="s">
        <v>311</v>
      </c>
      <c r="B61" s="8">
        <v>5299</v>
      </c>
      <c r="C61" s="8">
        <v>-28974</v>
      </c>
      <c r="D61" s="8">
        <v>-16103</v>
      </c>
      <c r="E61" s="8">
        <v>-15000</v>
      </c>
      <c r="F61" s="8">
        <v>9000</v>
      </c>
    </row>
    <row r="62" spans="1:6" x14ac:dyDescent="0.15">
      <c r="A62" s="7" t="s">
        <v>312</v>
      </c>
      <c r="B62" s="8">
        <v>1404199</v>
      </c>
      <c r="C62" s="8">
        <v>-690619</v>
      </c>
      <c r="D62" s="8">
        <v>687514</v>
      </c>
      <c r="E62" s="8">
        <v>-1489000</v>
      </c>
      <c r="F62" s="8">
        <v>175000</v>
      </c>
    </row>
    <row r="63" spans="1:6" x14ac:dyDescent="0.15">
      <c r="A63" s="7" t="s">
        <v>313</v>
      </c>
      <c r="B63" s="9" t="s">
        <v>6</v>
      </c>
      <c r="C63" s="9" t="s">
        <v>6</v>
      </c>
      <c r="D63" s="9" t="s">
        <v>6</v>
      </c>
      <c r="E63" s="8">
        <v>-139000</v>
      </c>
      <c r="F63" s="8">
        <v>3000</v>
      </c>
    </row>
    <row r="64" spans="1:6" x14ac:dyDescent="0.15">
      <c r="A64" s="7" t="s">
        <v>314</v>
      </c>
      <c r="B64" s="9" t="s">
        <v>6</v>
      </c>
      <c r="C64" s="9" t="s">
        <v>6</v>
      </c>
      <c r="D64" s="9" t="s">
        <v>6</v>
      </c>
      <c r="E64" s="8">
        <v>-212000</v>
      </c>
      <c r="F64" s="8">
        <v>1392000</v>
      </c>
    </row>
    <row r="65" spans="1:6" x14ac:dyDescent="0.15">
      <c r="A65" s="7" t="s">
        <v>315</v>
      </c>
      <c r="B65" s="9" t="s">
        <v>6</v>
      </c>
      <c r="C65" s="9" t="s">
        <v>6</v>
      </c>
      <c r="D65" s="9" t="s">
        <v>6</v>
      </c>
      <c r="E65" s="8">
        <v>2917000</v>
      </c>
      <c r="F65" s="8">
        <v>2705000</v>
      </c>
    </row>
    <row r="66" spans="1:6" x14ac:dyDescent="0.15">
      <c r="A66" s="7" t="s">
        <v>316</v>
      </c>
      <c r="B66" s="9" t="s">
        <v>6</v>
      </c>
      <c r="C66" s="9" t="s">
        <v>6</v>
      </c>
      <c r="D66" s="9" t="s">
        <v>6</v>
      </c>
      <c r="E66" s="8">
        <v>2705000</v>
      </c>
      <c r="F66" s="8">
        <v>4097000</v>
      </c>
    </row>
    <row r="67" spans="1:6" x14ac:dyDescent="0.15">
      <c r="A67" s="7" t="s">
        <v>317</v>
      </c>
      <c r="B67" s="8">
        <v>400984</v>
      </c>
      <c r="C67" s="9" t="s">
        <v>6</v>
      </c>
      <c r="D67" s="9" t="s">
        <v>6</v>
      </c>
      <c r="E67" s="9" t="s">
        <v>6</v>
      </c>
      <c r="F67" s="9" t="s">
        <v>6</v>
      </c>
    </row>
    <row r="68" spans="1:6" x14ac:dyDescent="0.15">
      <c r="A68" s="7" t="s">
        <v>318</v>
      </c>
      <c r="B68" s="8">
        <v>-127385</v>
      </c>
      <c r="C68" s="8">
        <v>-34882</v>
      </c>
      <c r="D68" s="8">
        <v>145640</v>
      </c>
      <c r="E68" s="9" t="s">
        <v>6</v>
      </c>
      <c r="F68" s="9" t="s">
        <v>6</v>
      </c>
    </row>
    <row r="69" spans="1:6" x14ac:dyDescent="0.15">
      <c r="A69" s="7" t="s">
        <v>319</v>
      </c>
      <c r="B69" s="8">
        <v>273599</v>
      </c>
      <c r="C69" s="8">
        <v>120512</v>
      </c>
      <c r="D69" s="8">
        <v>1049918</v>
      </c>
      <c r="E69" s="9" t="s">
        <v>6</v>
      </c>
      <c r="F69" s="9" t="s">
        <v>6</v>
      </c>
    </row>
    <row r="70" spans="1:6" x14ac:dyDescent="0.15">
      <c r="A70" s="7" t="s">
        <v>320</v>
      </c>
      <c r="B70" s="8">
        <v>1402700</v>
      </c>
      <c r="C70" s="8">
        <v>1676299</v>
      </c>
      <c r="D70" s="8">
        <v>1796811</v>
      </c>
      <c r="E70" s="9" t="s">
        <v>6</v>
      </c>
      <c r="F70" s="9" t="s">
        <v>6</v>
      </c>
    </row>
    <row r="71" spans="1:6" x14ac:dyDescent="0.15">
      <c r="A71" s="7" t="s">
        <v>321</v>
      </c>
      <c r="B71" s="8">
        <v>1676299</v>
      </c>
      <c r="C71" s="8">
        <v>1796811</v>
      </c>
      <c r="D71" s="8">
        <v>2846729</v>
      </c>
      <c r="E71" s="9" t="s">
        <v>6</v>
      </c>
      <c r="F71" s="9" t="s">
        <v>6</v>
      </c>
    </row>
    <row r="72" spans="1:6" x14ac:dyDescent="0.15">
      <c r="A72" s="7" t="s">
        <v>322</v>
      </c>
      <c r="B72" s="8">
        <v>109507</v>
      </c>
      <c r="C72" s="8">
        <v>153755</v>
      </c>
      <c r="D72" s="8">
        <v>162932</v>
      </c>
      <c r="E72" s="8">
        <v>196000</v>
      </c>
      <c r="F72" s="8">
        <v>157000</v>
      </c>
    </row>
    <row r="73" spans="1:6" x14ac:dyDescent="0.15">
      <c r="A73" s="7" t="s">
        <v>323</v>
      </c>
      <c r="B73" s="8">
        <v>96834</v>
      </c>
      <c r="C73" s="8">
        <v>124291</v>
      </c>
      <c r="D73" s="8">
        <v>174180</v>
      </c>
      <c r="E73" s="8">
        <v>282000</v>
      </c>
      <c r="F73" s="8">
        <v>304000</v>
      </c>
    </row>
  </sheetData>
  <pageMargins left="0.7" right="0.7" top="0.75" bottom="0.75" header="0.3" footer="0.3"/>
  <pageSetup orientation="portrait" r:id="rId1"/>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4:K70"/>
  <sheetViews>
    <sheetView zoomScale="113" workbookViewId="0">
      <selection activeCell="E10" sqref="E10"/>
    </sheetView>
  </sheetViews>
  <sheetFormatPr baseColWidth="10" defaultColWidth="8.83203125" defaultRowHeight="13" x14ac:dyDescent="0.15"/>
  <cols>
    <col min="1" max="1" width="30" customWidth="1"/>
    <col min="2" max="2" width="9.1640625" bestFit="1" customWidth="1"/>
    <col min="3" max="3" width="9" style="12" bestFit="1" customWidth="1"/>
    <col min="4" max="4" width="15" bestFit="1" customWidth="1"/>
    <col min="5" max="5" width="9" style="12" bestFit="1" customWidth="1"/>
    <col min="6" max="6" width="9.1640625" bestFit="1" customWidth="1"/>
    <col min="7" max="7" width="9" style="12" bestFit="1" customWidth="1"/>
    <col min="8" max="8" width="9.1640625" bestFit="1" customWidth="1"/>
    <col min="9" max="9" width="9" style="12" bestFit="1" customWidth="1"/>
    <col min="10" max="10" width="9" bestFit="1" customWidth="1"/>
    <col min="11" max="11" width="9" style="12" bestFit="1" customWidth="1"/>
  </cols>
  <sheetData>
    <row r="4" spans="1:11" x14ac:dyDescent="0.15">
      <c r="A4" s="1" t="s">
        <v>168</v>
      </c>
    </row>
    <row r="5" spans="1:11" ht="20" x14ac:dyDescent="0.2">
      <c r="A5" s="2" t="s">
        <v>169</v>
      </c>
    </row>
    <row r="7" spans="1:11" ht="28" x14ac:dyDescent="0.15">
      <c r="A7" s="3" t="s">
        <v>170</v>
      </c>
    </row>
    <row r="10" spans="1:11" ht="28" x14ac:dyDescent="0.15">
      <c r="A10" s="4" t="s">
        <v>171</v>
      </c>
    </row>
    <row r="11" spans="1:11" ht="28" x14ac:dyDescent="0.15">
      <c r="A11" s="5" t="s">
        <v>172</v>
      </c>
      <c r="B11" s="6" t="s">
        <v>324</v>
      </c>
      <c r="C11" s="13"/>
      <c r="D11" s="6" t="s">
        <v>325</v>
      </c>
      <c r="E11" s="13"/>
      <c r="F11" s="6" t="s">
        <v>326</v>
      </c>
      <c r="G11" s="13"/>
      <c r="H11" s="6" t="s">
        <v>327</v>
      </c>
      <c r="I11" s="13"/>
      <c r="J11" s="6" t="s">
        <v>328</v>
      </c>
      <c r="K11" s="13"/>
    </row>
    <row r="12" spans="1:11" ht="14" x14ac:dyDescent="0.15">
      <c r="A12" s="5" t="s">
        <v>173</v>
      </c>
      <c r="B12" s="6" t="s">
        <v>174</v>
      </c>
      <c r="C12" s="13"/>
      <c r="D12" s="6" t="s">
        <v>174</v>
      </c>
      <c r="E12" s="13"/>
      <c r="F12" s="6" t="s">
        <v>174</v>
      </c>
      <c r="G12" s="13"/>
      <c r="H12" s="6" t="s">
        <v>174</v>
      </c>
      <c r="I12" s="13"/>
      <c r="J12" s="6" t="s">
        <v>174</v>
      </c>
      <c r="K12" s="13"/>
    </row>
    <row r="13" spans="1:11" ht="28" x14ac:dyDescent="0.15">
      <c r="A13" s="5" t="s">
        <v>175</v>
      </c>
      <c r="B13" s="6" t="s">
        <v>177</v>
      </c>
      <c r="C13" s="13"/>
      <c r="D13" s="6" t="s">
        <v>176</v>
      </c>
      <c r="E13" s="13"/>
      <c r="F13" s="6" t="s">
        <v>176</v>
      </c>
      <c r="G13" s="13"/>
      <c r="H13" s="6" t="s">
        <v>176</v>
      </c>
      <c r="I13" s="13"/>
      <c r="J13" s="6" t="s">
        <v>176</v>
      </c>
      <c r="K13" s="13"/>
    </row>
    <row r="14" spans="1:11" ht="14" x14ac:dyDescent="0.15">
      <c r="A14" s="5" t="s">
        <v>178</v>
      </c>
      <c r="B14" s="6" t="s">
        <v>179</v>
      </c>
      <c r="C14" s="13"/>
      <c r="D14" s="6" t="s">
        <v>179</v>
      </c>
      <c r="E14" s="13"/>
      <c r="F14" s="6" t="s">
        <v>179</v>
      </c>
      <c r="G14" s="13"/>
      <c r="H14" s="6" t="s">
        <v>179</v>
      </c>
      <c r="I14" s="13"/>
      <c r="J14" s="6" t="s">
        <v>179</v>
      </c>
      <c r="K14" s="13"/>
    </row>
    <row r="15" spans="1:11" ht="28" x14ac:dyDescent="0.15">
      <c r="A15" s="5" t="s">
        <v>180</v>
      </c>
      <c r="B15" s="6" t="s">
        <v>181</v>
      </c>
      <c r="C15" s="13"/>
      <c r="D15" s="6" t="s">
        <v>181</v>
      </c>
      <c r="E15" s="13"/>
      <c r="F15" s="6" t="s">
        <v>181</v>
      </c>
      <c r="G15" s="13"/>
      <c r="H15" s="6" t="s">
        <v>181</v>
      </c>
      <c r="I15" s="13"/>
      <c r="J15" s="6" t="s">
        <v>181</v>
      </c>
      <c r="K15" s="13"/>
    </row>
    <row r="16" spans="1:11" x14ac:dyDescent="0.15">
      <c r="A16" s="7" t="s">
        <v>69</v>
      </c>
      <c r="B16" s="8">
        <v>2443000</v>
      </c>
      <c r="C16" s="14">
        <f>IFERROR(B16/B$43,"Missing")</f>
        <v>0.13547385349082239</v>
      </c>
      <c r="D16" s="8">
        <v>2846729</v>
      </c>
      <c r="E16" s="14">
        <f t="shared" ref="E16:E70" si="0">IFERROR(D16/D$43,"Missing")</f>
        <v>0.15374736411857054</v>
      </c>
      <c r="F16" s="8">
        <v>1796811</v>
      </c>
      <c r="G16" s="14">
        <f t="shared" ref="G16:G70" si="1">IFERROR(F16/F$43,"Missing")</f>
        <v>0.11388406029682943</v>
      </c>
      <c r="H16" s="8">
        <v>1676299</v>
      </c>
      <c r="I16" s="14">
        <f t="shared" ref="I16:I70" si="2">IFERROR(H16/H$43,"Missing")</f>
        <v>0.10812173161026463</v>
      </c>
      <c r="J16" s="8">
        <v>1402700</v>
      </c>
      <c r="K16" s="14">
        <f t="shared" ref="K16:K70" si="3">IFERROR(J16/J$43,"Missing")</f>
        <v>0.15550070295142041</v>
      </c>
    </row>
    <row r="17" spans="1:11" x14ac:dyDescent="0.15">
      <c r="A17" s="7" t="s">
        <v>182</v>
      </c>
      <c r="B17" s="8">
        <v>259000</v>
      </c>
      <c r="C17" s="14">
        <f t="shared" ref="C17:C70" si="4">IFERROR(B17/B$43,"Missing")</f>
        <v>1.4362557533410968E-2</v>
      </c>
      <c r="D17" s="8">
        <v>69055</v>
      </c>
      <c r="E17" s="14">
        <f t="shared" si="0"/>
        <v>3.7295521383341685E-3</v>
      </c>
      <c r="F17" s="8">
        <v>18733</v>
      </c>
      <c r="G17" s="14">
        <f t="shared" si="1"/>
        <v>1.1873202588032386E-3</v>
      </c>
      <c r="H17" s="8">
        <v>11324</v>
      </c>
      <c r="I17" s="14">
        <f t="shared" si="2"/>
        <v>7.3040101363458228E-4</v>
      </c>
      <c r="J17" s="8">
        <v>34888</v>
      </c>
      <c r="K17" s="14">
        <f t="shared" si="3"/>
        <v>3.8676185389385867E-3</v>
      </c>
    </row>
    <row r="18" spans="1:11" x14ac:dyDescent="0.15">
      <c r="A18" s="7" t="s">
        <v>70</v>
      </c>
      <c r="B18" s="8">
        <v>28000</v>
      </c>
      <c r="C18" s="14">
        <f t="shared" si="4"/>
        <v>1.5527089225309155E-3</v>
      </c>
      <c r="D18" s="8">
        <v>468508</v>
      </c>
      <c r="E18" s="14">
        <f t="shared" si="0"/>
        <v>2.5303381554220034E-2</v>
      </c>
      <c r="F18" s="8">
        <v>72313</v>
      </c>
      <c r="G18" s="14">
        <f t="shared" si="1"/>
        <v>4.5832856389707247E-3</v>
      </c>
      <c r="H18" s="8">
        <v>33739</v>
      </c>
      <c r="I18" s="14">
        <f t="shared" si="2"/>
        <v>2.1761744788958998E-3</v>
      </c>
      <c r="J18" s="8">
        <v>355780</v>
      </c>
      <c r="K18" s="14">
        <f t="shared" si="3"/>
        <v>3.944110650606427E-2</v>
      </c>
    </row>
    <row r="19" spans="1:11" x14ac:dyDescent="0.15">
      <c r="A19" s="7" t="s">
        <v>183</v>
      </c>
      <c r="B19" s="8">
        <v>2185000</v>
      </c>
      <c r="C19" s="14">
        <f t="shared" si="4"/>
        <v>0.12116674984750181</v>
      </c>
      <c r="D19" s="9" t="s">
        <v>6</v>
      </c>
      <c r="E19" s="14" t="str">
        <f t="shared" si="0"/>
        <v>Missing</v>
      </c>
      <c r="F19" s="9" t="s">
        <v>6</v>
      </c>
      <c r="G19" s="14" t="str">
        <f t="shared" si="1"/>
        <v>Missing</v>
      </c>
      <c r="H19" s="9" t="s">
        <v>6</v>
      </c>
      <c r="I19" s="14" t="str">
        <f t="shared" si="2"/>
        <v>Missing</v>
      </c>
      <c r="J19" s="9" t="s">
        <v>6</v>
      </c>
      <c r="K19" s="14" t="str">
        <f t="shared" si="3"/>
        <v>Missing</v>
      </c>
    </row>
    <row r="20" spans="1:11" x14ac:dyDescent="0.15">
      <c r="A20" s="7" t="s">
        <v>184</v>
      </c>
      <c r="B20" s="8">
        <v>34000</v>
      </c>
      <c r="C20" s="14">
        <f t="shared" si="4"/>
        <v>1.8854322630732546E-3</v>
      </c>
      <c r="D20" s="9" t="s">
        <v>6</v>
      </c>
      <c r="E20" s="14" t="str">
        <f t="shared" si="0"/>
        <v>Missing</v>
      </c>
      <c r="F20" s="9" t="s">
        <v>6</v>
      </c>
      <c r="G20" s="14" t="str">
        <f t="shared" si="1"/>
        <v>Missing</v>
      </c>
      <c r="H20" s="9" t="s">
        <v>6</v>
      </c>
      <c r="I20" s="14" t="str">
        <f t="shared" si="2"/>
        <v>Missing</v>
      </c>
      <c r="J20" s="9" t="s">
        <v>6</v>
      </c>
      <c r="K20" s="14" t="str">
        <f t="shared" si="3"/>
        <v>Missing</v>
      </c>
    </row>
    <row r="21" spans="1:11" x14ac:dyDescent="0.15">
      <c r="A21" s="7" t="s">
        <v>185</v>
      </c>
      <c r="B21" s="8">
        <v>2151000</v>
      </c>
      <c r="C21" s="14">
        <f t="shared" si="4"/>
        <v>0.11928131758442855</v>
      </c>
      <c r="D21" s="9" t="s">
        <v>6</v>
      </c>
      <c r="E21" s="14" t="str">
        <f t="shared" si="0"/>
        <v>Missing</v>
      </c>
      <c r="F21" s="9" t="s">
        <v>6</v>
      </c>
      <c r="G21" s="14" t="str">
        <f t="shared" si="1"/>
        <v>Missing</v>
      </c>
      <c r="H21" s="9" t="s">
        <v>6</v>
      </c>
      <c r="I21" s="14" t="str">
        <f t="shared" si="2"/>
        <v>Missing</v>
      </c>
      <c r="J21" s="9" t="s">
        <v>6</v>
      </c>
      <c r="K21" s="14" t="str">
        <f t="shared" si="3"/>
        <v>Missing</v>
      </c>
    </row>
    <row r="22" spans="1:11" x14ac:dyDescent="0.15">
      <c r="A22" s="7" t="s">
        <v>186</v>
      </c>
      <c r="B22" s="9" t="s">
        <v>6</v>
      </c>
      <c r="C22" s="14" t="str">
        <f t="shared" si="4"/>
        <v>Missing</v>
      </c>
      <c r="D22" s="8">
        <v>1896691</v>
      </c>
      <c r="E22" s="14">
        <f t="shared" si="0"/>
        <v>0.10243730323378715</v>
      </c>
      <c r="F22" s="8">
        <v>1368525</v>
      </c>
      <c r="G22" s="14">
        <f t="shared" si="1"/>
        <v>8.6738774204809799E-2</v>
      </c>
      <c r="H22" s="8">
        <v>1109441</v>
      </c>
      <c r="I22" s="14">
        <f t="shared" si="2"/>
        <v>7.1559239753423223E-2</v>
      </c>
      <c r="J22" s="8">
        <v>792094</v>
      </c>
      <c r="K22" s="14">
        <f t="shared" si="3"/>
        <v>8.7810061883226917E-2</v>
      </c>
    </row>
    <row r="23" spans="1:11" x14ac:dyDescent="0.15">
      <c r="A23" s="7" t="s">
        <v>184</v>
      </c>
      <c r="B23" s="9" t="s">
        <v>6</v>
      </c>
      <c r="C23" s="14" t="str">
        <f t="shared" si="4"/>
        <v>Missing</v>
      </c>
      <c r="D23" s="8">
        <v>30696</v>
      </c>
      <c r="E23" s="14">
        <f t="shared" si="0"/>
        <v>1.6578427693621843E-3</v>
      </c>
      <c r="F23" s="8">
        <v>25278</v>
      </c>
      <c r="G23" s="14">
        <f t="shared" si="1"/>
        <v>1.6021502963768891E-3</v>
      </c>
      <c r="H23" s="8">
        <v>27035</v>
      </c>
      <c r="I23" s="14">
        <f t="shared" si="2"/>
        <v>1.7437646947731306E-3</v>
      </c>
      <c r="J23" s="8">
        <v>13760</v>
      </c>
      <c r="K23" s="14">
        <f t="shared" si="3"/>
        <v>1.5254079080427353E-3</v>
      </c>
    </row>
    <row r="24" spans="1:11" x14ac:dyDescent="0.15">
      <c r="A24" s="7" t="s">
        <v>187</v>
      </c>
      <c r="B24" s="9" t="s">
        <v>6</v>
      </c>
      <c r="C24" s="14" t="str">
        <f t="shared" si="4"/>
        <v>Missing</v>
      </c>
      <c r="D24" s="8">
        <v>1865995</v>
      </c>
      <c r="E24" s="14">
        <f t="shared" si="0"/>
        <v>0.10077946046442497</v>
      </c>
      <c r="F24" s="8">
        <v>1343247</v>
      </c>
      <c r="G24" s="14">
        <f t="shared" si="1"/>
        <v>8.5136623908432907E-2</v>
      </c>
      <c r="H24" s="8">
        <v>1082406</v>
      </c>
      <c r="I24" s="14">
        <f t="shared" si="2"/>
        <v>6.9815475058650087E-2</v>
      </c>
      <c r="J24" s="8">
        <v>778334</v>
      </c>
      <c r="K24" s="14">
        <f t="shared" si="3"/>
        <v>8.6284653975184186E-2</v>
      </c>
    </row>
    <row r="25" spans="1:11" x14ac:dyDescent="0.15">
      <c r="A25" s="7" t="s">
        <v>202</v>
      </c>
      <c r="B25" s="9" t="s">
        <v>6</v>
      </c>
      <c r="C25" s="14" t="str">
        <f t="shared" si="4"/>
        <v>Missing</v>
      </c>
      <c r="D25" s="9" t="s">
        <v>6</v>
      </c>
      <c r="E25" s="14" t="str">
        <f t="shared" si="0"/>
        <v>Missing</v>
      </c>
      <c r="F25" s="9" t="s">
        <v>6</v>
      </c>
      <c r="G25" s="14" t="str">
        <f t="shared" si="1"/>
        <v>Missing</v>
      </c>
      <c r="H25" s="9" t="s">
        <v>6</v>
      </c>
      <c r="I25" s="14" t="str">
        <f t="shared" si="2"/>
        <v>Missing</v>
      </c>
      <c r="J25" s="8">
        <v>169269</v>
      </c>
      <c r="K25" s="14">
        <f t="shared" si="3"/>
        <v>1.8764845289715535E-2</v>
      </c>
    </row>
    <row r="26" spans="1:11" x14ac:dyDescent="0.15">
      <c r="A26" s="7" t="s">
        <v>188</v>
      </c>
      <c r="B26" s="8">
        <v>24000</v>
      </c>
      <c r="C26" s="14">
        <f t="shared" si="4"/>
        <v>1.3308933621693562E-3</v>
      </c>
      <c r="D26" s="8">
        <v>20633</v>
      </c>
      <c r="E26" s="14">
        <f t="shared" si="0"/>
        <v>1.1143559375895865E-3</v>
      </c>
      <c r="F26" s="8">
        <v>19402</v>
      </c>
      <c r="G26" s="14">
        <f t="shared" si="1"/>
        <v>1.2297222901457552E-3</v>
      </c>
      <c r="H26" s="8">
        <v>13805</v>
      </c>
      <c r="I26" s="14">
        <f t="shared" si="2"/>
        <v>8.9042617389839356E-4</v>
      </c>
      <c r="J26" s="8">
        <v>17161</v>
      </c>
      <c r="K26" s="14">
        <f t="shared" si="3"/>
        <v>1.9024364178721934E-3</v>
      </c>
    </row>
    <row r="27" spans="1:11" x14ac:dyDescent="0.15">
      <c r="A27" s="7" t="s">
        <v>189</v>
      </c>
      <c r="B27" s="8">
        <v>292000</v>
      </c>
      <c r="C27" s="14">
        <f t="shared" si="4"/>
        <v>1.6192535906393832E-2</v>
      </c>
      <c r="D27" s="8">
        <v>268669</v>
      </c>
      <c r="E27" s="14">
        <f t="shared" si="0"/>
        <v>1.451039089789447E-2</v>
      </c>
      <c r="F27" s="8">
        <v>199745</v>
      </c>
      <c r="G27" s="14">
        <f t="shared" si="1"/>
        <v>1.2660080344560554E-2</v>
      </c>
      <c r="H27" s="8">
        <v>161188</v>
      </c>
      <c r="I27" s="14">
        <f t="shared" si="2"/>
        <v>1.0396668896655867E-2</v>
      </c>
      <c r="J27" s="8">
        <v>166357</v>
      </c>
      <c r="K27" s="14">
        <f t="shared" si="3"/>
        <v>1.8442026406850678E-2</v>
      </c>
    </row>
    <row r="28" spans="1:11" x14ac:dyDescent="0.15">
      <c r="A28" s="7" t="s">
        <v>68</v>
      </c>
      <c r="B28" s="8">
        <v>5197000</v>
      </c>
      <c r="C28" s="14">
        <f t="shared" si="4"/>
        <v>0.288193866799756</v>
      </c>
      <c r="D28" s="8">
        <v>5539589</v>
      </c>
      <c r="E28" s="14">
        <f t="shared" si="0"/>
        <v>0.29918450511103378</v>
      </c>
      <c r="F28" s="8">
        <v>3450251</v>
      </c>
      <c r="G28" s="14">
        <f t="shared" si="1"/>
        <v>0.21868109273774261</v>
      </c>
      <c r="H28" s="8">
        <v>2978761</v>
      </c>
      <c r="I28" s="14">
        <f t="shared" si="2"/>
        <v>0.19213087723199945</v>
      </c>
      <c r="J28" s="8">
        <v>2924489</v>
      </c>
      <c r="K28" s="14">
        <f t="shared" si="3"/>
        <v>0.32420339008604587</v>
      </c>
    </row>
    <row r="29" spans="1:11" x14ac:dyDescent="0.15">
      <c r="A29" s="7" t="s">
        <v>190</v>
      </c>
      <c r="B29" s="8">
        <v>2643000</v>
      </c>
      <c r="C29" s="14">
        <f t="shared" si="4"/>
        <v>0.14656463150890034</v>
      </c>
      <c r="D29" s="8">
        <v>2111262</v>
      </c>
      <c r="E29" s="14">
        <f t="shared" si="0"/>
        <v>0.11402594608187203</v>
      </c>
      <c r="F29" s="8">
        <v>1606960</v>
      </c>
      <c r="G29" s="14">
        <f t="shared" si="1"/>
        <v>0.10185107367140618</v>
      </c>
      <c r="H29" s="8">
        <v>1220822</v>
      </c>
      <c r="I29" s="14">
        <f t="shared" si="2"/>
        <v>7.8743343895036913E-2</v>
      </c>
      <c r="J29" s="8">
        <v>1041924</v>
      </c>
      <c r="K29" s="14">
        <f t="shared" si="3"/>
        <v>0.11550574921362783</v>
      </c>
    </row>
    <row r="30" spans="1:11" x14ac:dyDescent="0.15">
      <c r="A30" s="7" t="s">
        <v>191</v>
      </c>
      <c r="B30" s="8">
        <v>597000</v>
      </c>
      <c r="C30" s="14">
        <f t="shared" si="4"/>
        <v>3.3105972383962734E-2</v>
      </c>
      <c r="D30" s="8">
        <v>658031</v>
      </c>
      <c r="E30" s="14">
        <f t="shared" si="0"/>
        <v>3.5539221245965841E-2</v>
      </c>
      <c r="F30" s="8">
        <v>665652</v>
      </c>
      <c r="G30" s="14">
        <f t="shared" si="1"/>
        <v>4.2189831042165872E-2</v>
      </c>
      <c r="H30" s="8">
        <v>485074</v>
      </c>
      <c r="I30" s="14">
        <f t="shared" si="2"/>
        <v>3.1287402091821029E-2</v>
      </c>
      <c r="J30" s="8">
        <v>209328</v>
      </c>
      <c r="K30" s="14">
        <f t="shared" si="3"/>
        <v>2.3205711233631521E-2</v>
      </c>
    </row>
    <row r="31" spans="1:11" x14ac:dyDescent="0.15">
      <c r="A31" s="7" t="s">
        <v>192</v>
      </c>
      <c r="B31" s="8">
        <v>94000</v>
      </c>
      <c r="C31" s="14">
        <f t="shared" si="4"/>
        <v>5.2126656684966452E-3</v>
      </c>
      <c r="D31" s="8">
        <v>84509</v>
      </c>
      <c r="E31" s="14">
        <f t="shared" si="0"/>
        <v>4.5641984166024507E-3</v>
      </c>
      <c r="F31" s="8">
        <v>72811</v>
      </c>
      <c r="G31" s="14">
        <f t="shared" si="1"/>
        <v>4.6148494829297282E-3</v>
      </c>
      <c r="H31" s="8">
        <v>65939</v>
      </c>
      <c r="I31" s="14">
        <f t="shared" si="2"/>
        <v>4.253083048220657E-3</v>
      </c>
      <c r="J31" s="8">
        <v>146780</v>
      </c>
      <c r="K31" s="14">
        <f t="shared" si="3"/>
        <v>1.6271756740008188E-2</v>
      </c>
    </row>
    <row r="32" spans="1:11" x14ac:dyDescent="0.15">
      <c r="A32" s="7" t="s">
        <v>193</v>
      </c>
      <c r="B32" s="9" t="s">
        <v>6</v>
      </c>
      <c r="C32" s="14" t="str">
        <f t="shared" si="4"/>
        <v>Missing</v>
      </c>
      <c r="D32" s="8">
        <v>282865</v>
      </c>
      <c r="E32" s="14">
        <f t="shared" si="0"/>
        <v>1.527709457113742E-2</v>
      </c>
      <c r="F32" s="8">
        <v>241713</v>
      </c>
      <c r="G32" s="14">
        <f t="shared" si="1"/>
        <v>1.5320063082053444E-2</v>
      </c>
      <c r="H32" s="8">
        <v>199604</v>
      </c>
      <c r="I32" s="14">
        <f t="shared" si="2"/>
        <v>1.2874511120232883E-2</v>
      </c>
      <c r="J32" s="8">
        <v>135372</v>
      </c>
      <c r="K32" s="14">
        <f t="shared" si="3"/>
        <v>1.5007087160433225E-2</v>
      </c>
    </row>
    <row r="33" spans="1:11" x14ac:dyDescent="0.15">
      <c r="A33" s="7" t="s">
        <v>194</v>
      </c>
      <c r="B33" s="8">
        <v>435000</v>
      </c>
      <c r="C33" s="14">
        <f t="shared" si="4"/>
        <v>2.4122442189319582E-2</v>
      </c>
      <c r="D33" s="9" t="s">
        <v>6</v>
      </c>
      <c r="E33" s="14" t="str">
        <f t="shared" si="0"/>
        <v>Missing</v>
      </c>
      <c r="F33" s="9" t="s">
        <v>6</v>
      </c>
      <c r="G33" s="14" t="str">
        <f t="shared" si="1"/>
        <v>Missing</v>
      </c>
      <c r="H33" s="9" t="s">
        <v>6</v>
      </c>
      <c r="I33" s="14" t="str">
        <f t="shared" si="2"/>
        <v>Missing</v>
      </c>
      <c r="J33" s="9" t="s">
        <v>6</v>
      </c>
      <c r="K33" s="14" t="str">
        <f t="shared" si="3"/>
        <v>Missing</v>
      </c>
    </row>
    <row r="34" spans="1:11" x14ac:dyDescent="0.15">
      <c r="A34" s="7" t="s">
        <v>195</v>
      </c>
      <c r="B34" s="8">
        <v>129000</v>
      </c>
      <c r="C34" s="14">
        <f t="shared" si="4"/>
        <v>7.1535518216602895E-3</v>
      </c>
      <c r="D34" s="8">
        <v>129049</v>
      </c>
      <c r="E34" s="14">
        <f t="shared" si="0"/>
        <v>6.9697338918237066E-3</v>
      </c>
      <c r="F34" s="8">
        <v>130812</v>
      </c>
      <c r="G34" s="14">
        <f t="shared" si="1"/>
        <v>8.2910232047493319E-3</v>
      </c>
      <c r="H34" s="8">
        <v>130725</v>
      </c>
      <c r="I34" s="14">
        <f t="shared" si="2"/>
        <v>8.4317972895956161E-3</v>
      </c>
      <c r="J34" s="9" t="s">
        <v>6</v>
      </c>
      <c r="K34" s="14" t="str">
        <f t="shared" si="3"/>
        <v>Missing</v>
      </c>
    </row>
    <row r="35" spans="1:11" x14ac:dyDescent="0.15">
      <c r="A35" s="7" t="s">
        <v>196</v>
      </c>
      <c r="B35" s="8">
        <v>3898000</v>
      </c>
      <c r="C35" s="14">
        <f t="shared" si="4"/>
        <v>0.21615926357233961</v>
      </c>
      <c r="D35" s="8">
        <v>3265716</v>
      </c>
      <c r="E35" s="14">
        <f t="shared" si="0"/>
        <v>0.17637619420740144</v>
      </c>
      <c r="F35" s="8">
        <v>2717948</v>
      </c>
      <c r="G35" s="14">
        <f t="shared" si="1"/>
        <v>0.17226684048330457</v>
      </c>
      <c r="H35" s="8">
        <v>2102164</v>
      </c>
      <c r="I35" s="14">
        <f t="shared" si="2"/>
        <v>0.13559013744490711</v>
      </c>
      <c r="J35" s="8">
        <v>1533404</v>
      </c>
      <c r="K35" s="14">
        <f t="shared" si="3"/>
        <v>0.16999030434770077</v>
      </c>
    </row>
    <row r="36" spans="1:11" x14ac:dyDescent="0.15">
      <c r="A36" s="7" t="s">
        <v>197</v>
      </c>
      <c r="B36" s="8">
        <v>2552000</v>
      </c>
      <c r="C36" s="14">
        <f t="shared" si="4"/>
        <v>0.14151832751067486</v>
      </c>
      <c r="D36" s="8">
        <v>2055720</v>
      </c>
      <c r="E36" s="14">
        <f t="shared" si="0"/>
        <v>0.11102620985904448</v>
      </c>
      <c r="F36" s="8">
        <v>1575879</v>
      </c>
      <c r="G36" s="14">
        <f t="shared" si="1"/>
        <v>9.9881122197330308E-2</v>
      </c>
      <c r="H36" s="8">
        <v>1201744</v>
      </c>
      <c r="I36" s="14">
        <f t="shared" si="2"/>
        <v>7.7512807817845059E-2</v>
      </c>
      <c r="J36" s="8">
        <v>1011085</v>
      </c>
      <c r="K36" s="14">
        <f t="shared" si="3"/>
        <v>0.11208699525460676</v>
      </c>
    </row>
    <row r="37" spans="1:11" x14ac:dyDescent="0.15">
      <c r="A37" s="7" t="s">
        <v>198</v>
      </c>
      <c r="B37" s="8">
        <v>531000</v>
      </c>
      <c r="C37" s="14">
        <f t="shared" si="4"/>
        <v>2.9446015637997005E-2</v>
      </c>
      <c r="D37" s="8">
        <v>365262</v>
      </c>
      <c r="E37" s="14">
        <f t="shared" si="0"/>
        <v>1.972722718343661E-2</v>
      </c>
      <c r="F37" s="8">
        <v>252835</v>
      </c>
      <c r="G37" s="14">
        <f t="shared" si="1"/>
        <v>1.602498893047119E-2</v>
      </c>
      <c r="H37" s="8">
        <v>163839</v>
      </c>
      <c r="I37" s="14">
        <f t="shared" si="2"/>
        <v>1.0567659102161455E-2</v>
      </c>
      <c r="J37" s="8">
        <v>30807</v>
      </c>
      <c r="K37" s="14">
        <f t="shared" si="3"/>
        <v>3.4152064987698072E-3</v>
      </c>
    </row>
    <row r="38" spans="1:11" x14ac:dyDescent="0.15">
      <c r="A38" s="7" t="s">
        <v>199</v>
      </c>
      <c r="B38" s="8">
        <v>1877000</v>
      </c>
      <c r="C38" s="14">
        <f t="shared" si="4"/>
        <v>0.10408695169966173</v>
      </c>
      <c r="D38" s="8">
        <v>1575258</v>
      </c>
      <c r="E38" s="14">
        <f t="shared" si="0"/>
        <v>8.5077211531793581E-2</v>
      </c>
      <c r="F38" s="8">
        <v>1394904</v>
      </c>
      <c r="G38" s="14">
        <f t="shared" si="1"/>
        <v>8.841070721644545E-2</v>
      </c>
      <c r="H38" s="8">
        <v>1064259</v>
      </c>
      <c r="I38" s="14">
        <f t="shared" si="2"/>
        <v>6.8644988729223491E-2</v>
      </c>
      <c r="J38" s="8">
        <v>553126</v>
      </c>
      <c r="K38" s="14">
        <f t="shared" si="3"/>
        <v>6.1318515591863812E-2</v>
      </c>
    </row>
    <row r="39" spans="1:11" x14ac:dyDescent="0.15">
      <c r="A39" s="7" t="s">
        <v>201</v>
      </c>
      <c r="B39" s="8">
        <v>778000</v>
      </c>
      <c r="C39" s="14">
        <f t="shared" si="4"/>
        <v>4.3143126490323293E-2</v>
      </c>
      <c r="D39" s="8">
        <v>845450</v>
      </c>
      <c r="E39" s="14">
        <f t="shared" si="0"/>
        <v>4.5661427200848925E-2</v>
      </c>
      <c r="F39" s="8">
        <v>520058</v>
      </c>
      <c r="G39" s="14">
        <f t="shared" si="1"/>
        <v>3.2961906750263954E-2</v>
      </c>
      <c r="H39" s="8">
        <v>658439</v>
      </c>
      <c r="I39" s="14">
        <f t="shared" si="2"/>
        <v>4.246949072911875E-2</v>
      </c>
      <c r="J39" s="8">
        <v>286882</v>
      </c>
      <c r="K39" s="14">
        <f t="shared" si="3"/>
        <v>3.1803202868831107E-2</v>
      </c>
    </row>
    <row r="40" spans="1:11" x14ac:dyDescent="0.15">
      <c r="A40" s="7" t="s">
        <v>202</v>
      </c>
      <c r="B40" s="8">
        <v>69000</v>
      </c>
      <c r="C40" s="14">
        <f t="shared" si="4"/>
        <v>3.8263184162368991E-3</v>
      </c>
      <c r="D40" s="8">
        <v>17930</v>
      </c>
      <c r="E40" s="14">
        <f t="shared" si="0"/>
        <v>9.683711511162354E-4</v>
      </c>
      <c r="F40" s="8">
        <v>23658</v>
      </c>
      <c r="G40" s="14">
        <f t="shared" si="1"/>
        <v>1.499472731690974E-3</v>
      </c>
      <c r="H40" s="8">
        <v>15458</v>
      </c>
      <c r="I40" s="14">
        <f t="shared" si="2"/>
        <v>9.9704511380813957E-4</v>
      </c>
      <c r="J40" s="8">
        <v>10053</v>
      </c>
      <c r="K40" s="14">
        <f t="shared" si="3"/>
        <v>1.1144568095605828E-3</v>
      </c>
    </row>
    <row r="41" spans="1:11" x14ac:dyDescent="0.15">
      <c r="A41" s="7" t="s">
        <v>203</v>
      </c>
      <c r="B41" s="8">
        <v>1992000</v>
      </c>
      <c r="C41" s="14">
        <f t="shared" si="4"/>
        <v>0.11046414906005657</v>
      </c>
      <c r="D41" s="8">
        <v>2308536</v>
      </c>
      <c r="E41" s="14">
        <f t="shared" si="0"/>
        <v>0.1246804051150736</v>
      </c>
      <c r="F41" s="8">
        <v>2446652</v>
      </c>
      <c r="G41" s="14">
        <f t="shared" si="1"/>
        <v>0.15507177098390332</v>
      </c>
      <c r="H41" s="8">
        <v>2793954</v>
      </c>
      <c r="I41" s="14">
        <f t="shared" si="2"/>
        <v>0.18021077654966405</v>
      </c>
      <c r="J41" s="8">
        <v>1290087</v>
      </c>
      <c r="K41" s="14">
        <f t="shared" si="3"/>
        <v>0.14301663603656456</v>
      </c>
    </row>
    <row r="42" spans="1:11" x14ac:dyDescent="0.15">
      <c r="A42" s="7" t="s">
        <v>204</v>
      </c>
      <c r="B42" s="8">
        <v>8120000</v>
      </c>
      <c r="C42" s="14">
        <f t="shared" si="4"/>
        <v>0.45028558753396553</v>
      </c>
      <c r="D42" s="8">
        <v>8228865</v>
      </c>
      <c r="E42" s="14">
        <f t="shared" si="0"/>
        <v>0.44442807989013389</v>
      </c>
      <c r="F42" s="8">
        <v>7942023</v>
      </c>
      <c r="G42" s="14">
        <f t="shared" si="1"/>
        <v>0.50337504957995372</v>
      </c>
      <c r="H42" s="8">
        <v>7992941</v>
      </c>
      <c r="I42" s="14">
        <f t="shared" si="2"/>
        <v>0.51554682164618615</v>
      </c>
      <c r="J42" s="8">
        <v>3955901</v>
      </c>
      <c r="K42" s="14">
        <f t="shared" si="3"/>
        <v>0.43854379860713405</v>
      </c>
    </row>
    <row r="43" spans="1:11" x14ac:dyDescent="0.15">
      <c r="A43" s="7" t="s">
        <v>205</v>
      </c>
      <c r="B43" s="8">
        <v>18033000</v>
      </c>
      <c r="C43" s="14">
        <f t="shared" si="4"/>
        <v>1</v>
      </c>
      <c r="D43" s="8">
        <v>18515628</v>
      </c>
      <c r="E43" s="14">
        <f t="shared" si="0"/>
        <v>1</v>
      </c>
      <c r="F43" s="8">
        <v>15777546</v>
      </c>
      <c r="G43" s="14">
        <f t="shared" si="1"/>
        <v>1</v>
      </c>
      <c r="H43" s="8">
        <v>15503812</v>
      </c>
      <c r="I43" s="14">
        <f t="shared" si="2"/>
        <v>1</v>
      </c>
      <c r="J43" s="8">
        <v>9020538</v>
      </c>
      <c r="K43" s="14">
        <f t="shared" si="3"/>
        <v>1</v>
      </c>
    </row>
    <row r="44" spans="1:11" x14ac:dyDescent="0.15">
      <c r="A44" s="7" t="s">
        <v>206</v>
      </c>
      <c r="B44" s="8">
        <v>1699000</v>
      </c>
      <c r="C44" s="14">
        <f t="shared" si="4"/>
        <v>9.4216159263572338E-2</v>
      </c>
      <c r="D44" s="8">
        <v>1837936</v>
      </c>
      <c r="E44" s="14">
        <f t="shared" si="0"/>
        <v>9.9264037925151663E-2</v>
      </c>
      <c r="F44" s="8">
        <v>1509313</v>
      </c>
      <c r="G44" s="14">
        <f t="shared" si="1"/>
        <v>9.566208838814351E-2</v>
      </c>
      <c r="H44" s="8">
        <v>1329870</v>
      </c>
      <c r="I44" s="14">
        <f t="shared" si="2"/>
        <v>8.5776968915773744E-2</v>
      </c>
      <c r="J44" s="8">
        <v>1188483</v>
      </c>
      <c r="K44" s="14">
        <f t="shared" si="3"/>
        <v>0.13175300630627573</v>
      </c>
    </row>
    <row r="45" spans="1:11" x14ac:dyDescent="0.15">
      <c r="A45" s="7" t="s">
        <v>207</v>
      </c>
      <c r="B45" s="8">
        <v>788000</v>
      </c>
      <c r="C45" s="14">
        <f t="shared" si="4"/>
        <v>4.3697665391227193E-2</v>
      </c>
      <c r="D45" s="8">
        <v>697560</v>
      </c>
      <c r="E45" s="14">
        <f t="shared" si="0"/>
        <v>3.767412047811719E-2</v>
      </c>
      <c r="F45" s="8">
        <v>577012</v>
      </c>
      <c r="G45" s="14">
        <f t="shared" si="1"/>
        <v>3.6571720342314325E-2</v>
      </c>
      <c r="H45" s="8">
        <v>485557</v>
      </c>
      <c r="I45" s="14">
        <f t="shared" si="2"/>
        <v>3.1318555720360901E-2</v>
      </c>
      <c r="J45" s="8">
        <v>361382</v>
      </c>
      <c r="K45" s="14">
        <f t="shared" si="3"/>
        <v>4.0062133766300856E-2</v>
      </c>
    </row>
    <row r="46" spans="1:11" x14ac:dyDescent="0.15">
      <c r="A46" s="7" t="s">
        <v>208</v>
      </c>
      <c r="B46" s="8">
        <v>4327000</v>
      </c>
      <c r="C46" s="14">
        <f t="shared" si="4"/>
        <v>0.23994898242111684</v>
      </c>
      <c r="D46" s="8">
        <v>3219279</v>
      </c>
      <c r="E46" s="14">
        <f t="shared" si="0"/>
        <v>0.17386820474034151</v>
      </c>
      <c r="F46" s="8">
        <v>2617791</v>
      </c>
      <c r="G46" s="14">
        <f t="shared" si="1"/>
        <v>0.16591876835599148</v>
      </c>
      <c r="H46" s="8">
        <v>2337037</v>
      </c>
      <c r="I46" s="14">
        <f t="shared" si="2"/>
        <v>0.15073950845121187</v>
      </c>
      <c r="J46" s="8">
        <v>1761258</v>
      </c>
      <c r="K46" s="14">
        <f t="shared" si="3"/>
        <v>0.19524977335054738</v>
      </c>
    </row>
    <row r="47" spans="1:11" x14ac:dyDescent="0.15">
      <c r="A47" s="7" t="s">
        <v>209</v>
      </c>
      <c r="B47" s="8">
        <v>364000</v>
      </c>
      <c r="C47" s="14">
        <f t="shared" si="4"/>
        <v>2.0185215992901902E-2</v>
      </c>
      <c r="D47" s="8">
        <v>325722</v>
      </c>
      <c r="E47" s="14">
        <f t="shared" si="0"/>
        <v>1.7591733858554514E-2</v>
      </c>
      <c r="F47" s="8">
        <v>282517</v>
      </c>
      <c r="G47" s="14">
        <f t="shared" si="1"/>
        <v>1.7906270087883123E-2</v>
      </c>
      <c r="H47" s="8">
        <v>235809</v>
      </c>
      <c r="I47" s="14">
        <f t="shared" si="2"/>
        <v>1.5209743255400672E-2</v>
      </c>
      <c r="J47" s="8">
        <v>62206</v>
      </c>
      <c r="K47" s="14">
        <f t="shared" si="3"/>
        <v>6.8960410121879645E-3</v>
      </c>
    </row>
    <row r="48" spans="1:11" x14ac:dyDescent="0.15">
      <c r="A48" s="7" t="s">
        <v>210</v>
      </c>
      <c r="B48" s="8">
        <v>74000</v>
      </c>
      <c r="C48" s="14">
        <f t="shared" si="4"/>
        <v>4.103587866688848E-3</v>
      </c>
      <c r="D48" s="8">
        <v>33374</v>
      </c>
      <c r="E48" s="14">
        <f t="shared" si="0"/>
        <v>1.8024773450838394E-3</v>
      </c>
      <c r="F48" s="8">
        <v>49739</v>
      </c>
      <c r="G48" s="14">
        <f t="shared" si="1"/>
        <v>3.1525181419214368E-3</v>
      </c>
      <c r="H48" s="8">
        <v>68019</v>
      </c>
      <c r="I48" s="14">
        <f t="shared" si="2"/>
        <v>4.3872436017671013E-3</v>
      </c>
      <c r="J48" s="8">
        <v>59661</v>
      </c>
      <c r="K48" s="14">
        <f t="shared" si="3"/>
        <v>6.6139070640797697E-3</v>
      </c>
    </row>
    <row r="49" spans="1:11" x14ac:dyDescent="0.15">
      <c r="A49" s="7" t="s">
        <v>211</v>
      </c>
      <c r="B49" s="8">
        <v>808000</v>
      </c>
      <c r="C49" s="14">
        <f t="shared" si="4"/>
        <v>4.4806743193034994E-2</v>
      </c>
      <c r="D49" s="8">
        <v>1264819</v>
      </c>
      <c r="E49" s="14">
        <f t="shared" si="0"/>
        <v>6.831088850996575E-2</v>
      </c>
      <c r="F49" s="8">
        <v>1090826</v>
      </c>
      <c r="G49" s="14">
        <f t="shared" si="1"/>
        <v>6.9137874800048113E-2</v>
      </c>
      <c r="H49" s="8">
        <v>1469725</v>
      </c>
      <c r="I49" s="14">
        <f t="shared" si="2"/>
        <v>9.4797653635118898E-2</v>
      </c>
      <c r="J49" s="8">
        <v>753625</v>
      </c>
      <c r="K49" s="14">
        <f t="shared" si="3"/>
        <v>8.3545460370545527E-2</v>
      </c>
    </row>
    <row r="50" spans="1:11" x14ac:dyDescent="0.15">
      <c r="A50" s="7" t="s">
        <v>73</v>
      </c>
      <c r="B50" s="9" t="s">
        <v>6</v>
      </c>
      <c r="C50" s="14" t="str">
        <f t="shared" si="4"/>
        <v>Missing</v>
      </c>
      <c r="D50" s="8">
        <v>500000</v>
      </c>
      <c r="E50" s="14">
        <f t="shared" si="0"/>
        <v>2.7004215033916215E-2</v>
      </c>
      <c r="F50" s="9" t="s">
        <v>6</v>
      </c>
      <c r="G50" s="14" t="str">
        <f t="shared" si="1"/>
        <v>Missing</v>
      </c>
      <c r="H50" s="9" t="s">
        <v>6</v>
      </c>
      <c r="I50" s="14" t="str">
        <f t="shared" si="2"/>
        <v>Missing</v>
      </c>
      <c r="J50" s="9" t="s">
        <v>6</v>
      </c>
      <c r="K50" s="14" t="str">
        <f t="shared" si="3"/>
        <v>Missing</v>
      </c>
    </row>
    <row r="51" spans="1:11" x14ac:dyDescent="0.15">
      <c r="A51" s="7" t="s">
        <v>72</v>
      </c>
      <c r="B51" s="8">
        <v>8060000</v>
      </c>
      <c r="C51" s="14">
        <f t="shared" si="4"/>
        <v>0.44695835412854212</v>
      </c>
      <c r="D51" s="8">
        <v>7878690</v>
      </c>
      <c r="E51" s="14">
        <f t="shared" si="0"/>
        <v>0.42551567789113065</v>
      </c>
      <c r="F51" s="8">
        <v>6127198</v>
      </c>
      <c r="G51" s="14">
        <f t="shared" si="1"/>
        <v>0.38834924011630201</v>
      </c>
      <c r="H51" s="8">
        <v>5926017</v>
      </c>
      <c r="I51" s="14">
        <f t="shared" si="2"/>
        <v>0.38222967357963317</v>
      </c>
      <c r="J51" s="8">
        <v>4186615</v>
      </c>
      <c r="K51" s="14">
        <f t="shared" si="3"/>
        <v>0.46412032186993724</v>
      </c>
    </row>
    <row r="52" spans="1:11" x14ac:dyDescent="0.15">
      <c r="A52" s="7" t="s">
        <v>212</v>
      </c>
      <c r="B52" s="8">
        <v>3717000</v>
      </c>
      <c r="C52" s="14">
        <f t="shared" si="4"/>
        <v>0.20612210946597903</v>
      </c>
      <c r="D52" s="8">
        <v>4249054</v>
      </c>
      <c r="E52" s="14">
        <f t="shared" si="0"/>
        <v>0.22948473581344364</v>
      </c>
      <c r="F52" s="8">
        <v>3159336</v>
      </c>
      <c r="G52" s="14">
        <f t="shared" si="1"/>
        <v>0.20024254722502474</v>
      </c>
      <c r="H52" s="8">
        <v>3201277</v>
      </c>
      <c r="I52" s="14">
        <f t="shared" si="2"/>
        <v>0.20648321844975934</v>
      </c>
      <c r="J52" s="8">
        <v>1746787</v>
      </c>
      <c r="K52" s="14">
        <f t="shared" si="3"/>
        <v>0.19364554531004691</v>
      </c>
    </row>
    <row r="53" spans="1:11" x14ac:dyDescent="0.15">
      <c r="A53" s="7" t="s">
        <v>73</v>
      </c>
      <c r="B53" s="9" t="s">
        <v>6</v>
      </c>
      <c r="C53" s="14" t="str">
        <f t="shared" si="4"/>
        <v>Missing</v>
      </c>
      <c r="D53" s="8">
        <v>500000</v>
      </c>
      <c r="E53" s="14">
        <f t="shared" si="0"/>
        <v>2.7004215033916215E-2</v>
      </c>
      <c r="F53" s="9" t="s">
        <v>6</v>
      </c>
      <c r="G53" s="14" t="str">
        <f t="shared" si="1"/>
        <v>Missing</v>
      </c>
      <c r="H53" s="9" t="s">
        <v>6</v>
      </c>
      <c r="I53" s="14" t="str">
        <f t="shared" si="2"/>
        <v>Missing</v>
      </c>
      <c r="J53" s="9" t="s">
        <v>6</v>
      </c>
      <c r="K53" s="14" t="str">
        <f t="shared" si="3"/>
        <v>Missing</v>
      </c>
    </row>
    <row r="54" spans="1:11" x14ac:dyDescent="0.15">
      <c r="A54" s="7" t="s">
        <v>213</v>
      </c>
      <c r="B54" s="8">
        <v>3717000</v>
      </c>
      <c r="C54" s="14">
        <f t="shared" si="4"/>
        <v>0.20612210946597903</v>
      </c>
      <c r="D54" s="8">
        <v>3749054</v>
      </c>
      <c r="E54" s="14">
        <f t="shared" si="0"/>
        <v>0.20248052077952744</v>
      </c>
      <c r="F54" s="8">
        <v>3159336</v>
      </c>
      <c r="G54" s="14">
        <f t="shared" si="1"/>
        <v>0.20024254722502474</v>
      </c>
      <c r="H54" s="8">
        <v>3201277</v>
      </c>
      <c r="I54" s="14">
        <f t="shared" si="2"/>
        <v>0.20648321844975934</v>
      </c>
      <c r="J54" s="8">
        <v>1746787</v>
      </c>
      <c r="K54" s="14">
        <f t="shared" si="3"/>
        <v>0.19364554531004691</v>
      </c>
    </row>
    <row r="55" spans="1:11" x14ac:dyDescent="0.15">
      <c r="A55" s="7" t="s">
        <v>202</v>
      </c>
      <c r="B55" s="8">
        <v>69000</v>
      </c>
      <c r="C55" s="14">
        <f t="shared" si="4"/>
        <v>3.8263184162368991E-3</v>
      </c>
      <c r="D55" s="8">
        <v>328602</v>
      </c>
      <c r="E55" s="14">
        <f t="shared" si="0"/>
        <v>1.7747278137149873E-2</v>
      </c>
      <c r="F55" s="8">
        <v>484970</v>
      </c>
      <c r="G55" s="14">
        <f t="shared" si="1"/>
        <v>3.0737986756622353E-2</v>
      </c>
      <c r="H55" s="8">
        <v>473841</v>
      </c>
      <c r="I55" s="14">
        <f t="shared" si="2"/>
        <v>3.0562870602404105E-2</v>
      </c>
      <c r="J55" s="8">
        <v>452958</v>
      </c>
      <c r="K55" s="14">
        <f t="shared" si="3"/>
        <v>5.0214078140350386E-2</v>
      </c>
    </row>
    <row r="56" spans="1:11" x14ac:dyDescent="0.15">
      <c r="A56" s="7" t="s">
        <v>215</v>
      </c>
      <c r="B56" s="8">
        <v>506000</v>
      </c>
      <c r="C56" s="14">
        <f t="shared" si="4"/>
        <v>2.8059668385737261E-2</v>
      </c>
      <c r="D56" s="8">
        <v>408380</v>
      </c>
      <c r="E56" s="14">
        <f t="shared" si="0"/>
        <v>2.2055962671101405E-2</v>
      </c>
      <c r="F56" s="8">
        <v>312939</v>
      </c>
      <c r="G56" s="14">
        <f t="shared" si="1"/>
        <v>1.9834453342744175E-2</v>
      </c>
      <c r="H56" s="8">
        <v>314432</v>
      </c>
      <c r="I56" s="14">
        <f t="shared" si="2"/>
        <v>2.0280947679190125E-2</v>
      </c>
      <c r="J56" s="8">
        <v>180376</v>
      </c>
      <c r="K56" s="14">
        <f t="shared" si="3"/>
        <v>1.9996146571302068E-2</v>
      </c>
    </row>
    <row r="57" spans="1:11" x14ac:dyDescent="0.15">
      <c r="A57" s="7" t="s">
        <v>216</v>
      </c>
      <c r="B57" s="8">
        <v>30000</v>
      </c>
      <c r="C57" s="14">
        <f t="shared" si="4"/>
        <v>1.6636167027116952E-3</v>
      </c>
      <c r="D57" s="8">
        <v>22334</v>
      </c>
      <c r="E57" s="14">
        <f t="shared" si="0"/>
        <v>1.2062242771349694E-3</v>
      </c>
      <c r="F57" s="9" t="s">
        <v>6</v>
      </c>
      <c r="G57" s="14" t="str">
        <f t="shared" si="1"/>
        <v>Missing</v>
      </c>
      <c r="H57" s="8">
        <v>658478</v>
      </c>
      <c r="I57" s="14">
        <f t="shared" si="2"/>
        <v>4.2472006239497741E-2</v>
      </c>
      <c r="J57" s="8">
        <v>560073</v>
      </c>
      <c r="K57" s="14">
        <f t="shared" si="3"/>
        <v>6.208864704078626E-2</v>
      </c>
    </row>
    <row r="58" spans="1:11" x14ac:dyDescent="0.15">
      <c r="A58" s="7" t="s">
        <v>217</v>
      </c>
      <c r="B58" s="9" t="s">
        <v>6</v>
      </c>
      <c r="C58" s="14" t="str">
        <f t="shared" si="4"/>
        <v>Missing</v>
      </c>
      <c r="D58" s="8">
        <v>23</v>
      </c>
      <c r="E58" s="14">
        <f t="shared" si="0"/>
        <v>1.2421938915601458E-6</v>
      </c>
      <c r="F58" s="8">
        <v>22</v>
      </c>
      <c r="G58" s="14">
        <f t="shared" si="1"/>
        <v>1.3943866809198338E-6</v>
      </c>
      <c r="H58" s="8">
        <v>22</v>
      </c>
      <c r="I58" s="14">
        <f t="shared" si="2"/>
        <v>1.4190058548181569E-6</v>
      </c>
      <c r="J58" s="8">
        <v>20</v>
      </c>
      <c r="K58" s="14">
        <f t="shared" si="3"/>
        <v>2.2171626570388594E-6</v>
      </c>
    </row>
    <row r="59" spans="1:11" x14ac:dyDescent="0.15">
      <c r="A59" s="7" t="s">
        <v>218</v>
      </c>
      <c r="B59" s="9" t="s">
        <v>6</v>
      </c>
      <c r="C59" s="14" t="str">
        <f t="shared" si="4"/>
        <v>Missing</v>
      </c>
      <c r="D59" s="8">
        <v>1</v>
      </c>
      <c r="E59" s="14">
        <f t="shared" si="0"/>
        <v>5.4008430067832431E-8</v>
      </c>
      <c r="F59" s="8">
        <v>1</v>
      </c>
      <c r="G59" s="14">
        <f t="shared" si="1"/>
        <v>6.3381212769083356E-8</v>
      </c>
      <c r="H59" s="8">
        <v>1</v>
      </c>
      <c r="I59" s="14">
        <f t="shared" si="2"/>
        <v>6.4500266128098051E-8</v>
      </c>
      <c r="J59" s="8">
        <v>1</v>
      </c>
      <c r="K59" s="14">
        <f t="shared" si="3"/>
        <v>1.1085813285194297E-7</v>
      </c>
    </row>
    <row r="60" spans="1:11" x14ac:dyDescent="0.15">
      <c r="A60" s="7" t="s">
        <v>219</v>
      </c>
      <c r="B60" s="8">
        <v>9549000</v>
      </c>
      <c r="C60" s="14">
        <f t="shared" si="4"/>
        <v>0.52952919647313257</v>
      </c>
      <c r="D60" s="8">
        <v>9162909</v>
      </c>
      <c r="E60" s="14">
        <f t="shared" si="0"/>
        <v>0.49487432994441238</v>
      </c>
      <c r="F60" s="8">
        <v>8794298</v>
      </c>
      <c r="G60" s="14">
        <f t="shared" si="1"/>
        <v>0.55739327269272421</v>
      </c>
      <c r="H60" s="8">
        <v>8696508</v>
      </c>
      <c r="I60" s="14">
        <f t="shared" si="2"/>
        <v>0.56092708038513361</v>
      </c>
      <c r="J60" s="8">
        <v>5892862</v>
      </c>
      <c r="K60" s="14">
        <f t="shared" si="3"/>
        <v>0.65327167847416645</v>
      </c>
    </row>
    <row r="61" spans="1:11" x14ac:dyDescent="0.15">
      <c r="A61" s="7" t="s">
        <v>220</v>
      </c>
      <c r="B61" s="8">
        <v>5742000</v>
      </c>
      <c r="C61" s="14">
        <f t="shared" si="4"/>
        <v>0.31841623689901849</v>
      </c>
      <c r="D61" s="8">
        <v>4822743</v>
      </c>
      <c r="E61" s="14">
        <f t="shared" si="0"/>
        <v>0.26046877805062835</v>
      </c>
      <c r="F61" s="8">
        <v>4510655</v>
      </c>
      <c r="G61" s="14">
        <f t="shared" si="1"/>
        <v>0.28589078428292969</v>
      </c>
      <c r="H61" s="8">
        <v>4054909</v>
      </c>
      <c r="I61" s="14">
        <f t="shared" si="2"/>
        <v>0.26154270962521992</v>
      </c>
      <c r="J61" s="8">
        <v>3998120</v>
      </c>
      <c r="K61" s="14">
        <f t="shared" si="3"/>
        <v>0.44322411811801027</v>
      </c>
    </row>
    <row r="62" spans="1:11" x14ac:dyDescent="0.15">
      <c r="A62" s="7" t="s">
        <v>221</v>
      </c>
      <c r="B62" s="8">
        <v>517000</v>
      </c>
      <c r="C62" s="14">
        <f t="shared" si="4"/>
        <v>2.8669661176731549E-2</v>
      </c>
      <c r="D62" s="8">
        <v>331078</v>
      </c>
      <c r="E62" s="14">
        <f t="shared" si="0"/>
        <v>1.7881003009997825E-2</v>
      </c>
      <c r="F62" s="8">
        <v>129034</v>
      </c>
      <c r="G62" s="14">
        <f t="shared" si="1"/>
        <v>8.1783314084459009E-3</v>
      </c>
      <c r="H62" s="8">
        <v>507666</v>
      </c>
      <c r="I62" s="14">
        <f t="shared" si="2"/>
        <v>3.2744592104187023E-2</v>
      </c>
      <c r="J62" s="8">
        <v>28278</v>
      </c>
      <c r="K62" s="14">
        <f t="shared" si="3"/>
        <v>3.1348462807872434E-3</v>
      </c>
    </row>
    <row r="63" spans="1:11" x14ac:dyDescent="0.15">
      <c r="A63" s="7" t="s">
        <v>222</v>
      </c>
      <c r="B63" s="9" t="s">
        <v>6</v>
      </c>
      <c r="C63" s="14" t="str">
        <f t="shared" si="4"/>
        <v>Missing</v>
      </c>
      <c r="D63" s="9" t="s">
        <v>6</v>
      </c>
      <c r="E63" s="14" t="str">
        <f t="shared" si="0"/>
        <v>Missing</v>
      </c>
      <c r="F63" s="8">
        <v>-280426</v>
      </c>
      <c r="G63" s="14">
        <f t="shared" si="1"/>
        <v>-1.777373997198297E-2</v>
      </c>
      <c r="H63" s="8">
        <v>-284767</v>
      </c>
      <c r="I63" s="14">
        <f t="shared" si="2"/>
        <v>-1.8367547284500095E-2</v>
      </c>
      <c r="J63" s="9" t="s">
        <v>6</v>
      </c>
      <c r="K63" s="14" t="str">
        <f t="shared" si="3"/>
        <v>Missing</v>
      </c>
    </row>
    <row r="64" spans="1:11" x14ac:dyDescent="0.15">
      <c r="A64" s="7" t="s">
        <v>223</v>
      </c>
      <c r="B64" s="9" t="s">
        <v>6</v>
      </c>
      <c r="C64" s="14" t="str">
        <f t="shared" si="4"/>
        <v>Missing</v>
      </c>
      <c r="D64" s="9" t="s">
        <v>6</v>
      </c>
      <c r="E64" s="14" t="str">
        <f t="shared" si="0"/>
        <v>Missing</v>
      </c>
      <c r="F64" s="8">
        <v>27</v>
      </c>
      <c r="G64" s="14">
        <f t="shared" si="1"/>
        <v>1.7112927447652506E-6</v>
      </c>
      <c r="H64" s="8">
        <v>-127</v>
      </c>
      <c r="I64" s="14">
        <f t="shared" si="2"/>
        <v>-8.1915337982684521E-6</v>
      </c>
      <c r="J64" s="9" t="s">
        <v>6</v>
      </c>
      <c r="K64" s="14" t="str">
        <f t="shared" si="3"/>
        <v>Missing</v>
      </c>
    </row>
    <row r="65" spans="1:11" x14ac:dyDescent="0.15">
      <c r="A65" s="7" t="s">
        <v>224</v>
      </c>
      <c r="B65" s="8">
        <v>-220000</v>
      </c>
      <c r="C65" s="14">
        <f t="shared" si="4"/>
        <v>-1.2199855819885764E-2</v>
      </c>
      <c r="D65" s="8">
        <v>-142255</v>
      </c>
      <c r="E65" s="14">
        <f t="shared" si="0"/>
        <v>-7.6829692192995017E-3</v>
      </c>
      <c r="F65" s="9" t="s">
        <v>6</v>
      </c>
      <c r="G65" s="14" t="str">
        <f t="shared" si="1"/>
        <v>Missing</v>
      </c>
      <c r="H65" s="9" t="s">
        <v>6</v>
      </c>
      <c r="I65" s="14" t="str">
        <f t="shared" si="2"/>
        <v>Missing</v>
      </c>
      <c r="J65" s="9" t="s">
        <v>6</v>
      </c>
      <c r="K65" s="14" t="str">
        <f t="shared" si="3"/>
        <v>Missing</v>
      </c>
    </row>
    <row r="66" spans="1:11" x14ac:dyDescent="0.15">
      <c r="A66" s="7" t="s">
        <v>225</v>
      </c>
      <c r="B66" s="9" t="s">
        <v>6</v>
      </c>
      <c r="C66" s="14" t="str">
        <f t="shared" si="4"/>
        <v>Missing</v>
      </c>
      <c r="D66" s="8">
        <v>-6678</v>
      </c>
      <c r="E66" s="14">
        <f t="shared" si="0"/>
        <v>-3.6066829599298497E-4</v>
      </c>
      <c r="F66" s="9" t="s">
        <v>6</v>
      </c>
      <c r="G66" s="14" t="str">
        <f t="shared" si="1"/>
        <v>Missing</v>
      </c>
      <c r="H66" s="9" t="s">
        <v>6</v>
      </c>
      <c r="I66" s="14" t="str">
        <f t="shared" si="2"/>
        <v>Missing</v>
      </c>
      <c r="J66" s="9" t="s">
        <v>6</v>
      </c>
      <c r="K66" s="14" t="str">
        <f t="shared" si="3"/>
        <v>Missing</v>
      </c>
    </row>
    <row r="67" spans="1:11" x14ac:dyDescent="0.15">
      <c r="A67" s="7" t="s">
        <v>226</v>
      </c>
      <c r="B67" s="8">
        <v>-220000</v>
      </c>
      <c r="C67" s="14">
        <f t="shared" si="4"/>
        <v>-1.2199855819885764E-2</v>
      </c>
      <c r="D67" s="8">
        <v>-148933</v>
      </c>
      <c r="E67" s="14">
        <f t="shared" si="0"/>
        <v>-8.0436375152924868E-3</v>
      </c>
      <c r="F67" s="8">
        <v>-280399</v>
      </c>
      <c r="G67" s="14">
        <f t="shared" si="1"/>
        <v>-1.7772028679238203E-2</v>
      </c>
      <c r="H67" s="8">
        <v>-284894</v>
      </c>
      <c r="I67" s="14">
        <f t="shared" si="2"/>
        <v>-1.8375738818298366E-2</v>
      </c>
      <c r="J67" s="8">
        <v>-138774</v>
      </c>
      <c r="K67" s="14">
        <f t="shared" si="3"/>
        <v>-1.5384226528395535E-2</v>
      </c>
    </row>
    <row r="68" spans="1:11" x14ac:dyDescent="0.15">
      <c r="A68" s="7" t="s">
        <v>227</v>
      </c>
      <c r="B68" s="8">
        <v>4104000</v>
      </c>
      <c r="C68" s="14">
        <f t="shared" si="4"/>
        <v>0.22758276493095991</v>
      </c>
      <c r="D68" s="8">
        <v>4522335</v>
      </c>
      <c r="E68" s="14">
        <f t="shared" si="0"/>
        <v>0.24424421359081097</v>
      </c>
      <c r="F68" s="8">
        <v>4132301</v>
      </c>
      <c r="G68" s="14">
        <f t="shared" si="1"/>
        <v>0.2619102489068959</v>
      </c>
      <c r="H68" s="8">
        <v>4864394</v>
      </c>
      <c r="I68" s="14">
        <f t="shared" si="2"/>
        <v>0.31375470755192336</v>
      </c>
      <c r="J68" s="8">
        <v>1784267</v>
      </c>
      <c r="K68" s="14">
        <f t="shared" si="3"/>
        <v>0.19780050812933775</v>
      </c>
    </row>
    <row r="69" spans="1:11" x14ac:dyDescent="0.15">
      <c r="A69" s="7" t="s">
        <v>228</v>
      </c>
      <c r="B69" s="8">
        <v>1547000</v>
      </c>
      <c r="C69" s="14">
        <f t="shared" si="4"/>
        <v>8.5787167969833086E-2</v>
      </c>
      <c r="D69" s="12">
        <v>1606233</v>
      </c>
      <c r="E69" s="14">
        <f t="shared" si="0"/>
        <v>8.675012265314469E-2</v>
      </c>
      <c r="F69" s="8">
        <v>1560802</v>
      </c>
      <c r="G69" s="14">
        <f t="shared" si="1"/>
        <v>9.8925523652410835E-2</v>
      </c>
      <c r="H69" s="8">
        <v>65373</v>
      </c>
      <c r="I69" s="14">
        <f t="shared" si="2"/>
        <v>4.2165758975921536E-3</v>
      </c>
      <c r="J69" s="8">
        <v>109462</v>
      </c>
      <c r="K69" s="14">
        <f t="shared" si="3"/>
        <v>1.2134752938239382E-2</v>
      </c>
    </row>
    <row r="70" spans="1:11" x14ac:dyDescent="0.15">
      <c r="A70" s="7" t="s">
        <v>229</v>
      </c>
      <c r="B70" s="8">
        <v>5651000</v>
      </c>
      <c r="C70" s="14">
        <f t="shared" si="4"/>
        <v>0.31336993290079301</v>
      </c>
      <c r="D70" s="8">
        <v>6128568</v>
      </c>
      <c r="E70" s="14">
        <f t="shared" si="0"/>
        <v>0.33099433624395563</v>
      </c>
      <c r="F70" s="8">
        <v>5693103</v>
      </c>
      <c r="G70" s="14">
        <f t="shared" si="1"/>
        <v>0.36083577255930677</v>
      </c>
      <c r="H70" s="8">
        <v>4929767</v>
      </c>
      <c r="I70" s="14">
        <f t="shared" si="2"/>
        <v>0.31797128344951553</v>
      </c>
      <c r="J70" s="8">
        <v>1893729</v>
      </c>
      <c r="K70" s="14">
        <f t="shared" si="3"/>
        <v>0.20993526106757712</v>
      </c>
    </row>
  </sheetData>
  <sheetProtection formatCells="0" formatColumns="0" formatRows="0" insertColumns="0" insertRows="0" insertHyperlinks="0" deleteColumns="0" deleteRows="0" sort="0" autoFilter="0" pivotTables="0"/>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4:K66"/>
  <sheetViews>
    <sheetView workbookViewId="0">
      <selection activeCell="E29" sqref="E29"/>
    </sheetView>
  </sheetViews>
  <sheetFormatPr baseColWidth="10" defaultColWidth="8.83203125" defaultRowHeight="13" x14ac:dyDescent="0.15"/>
  <cols>
    <col min="1" max="1" width="50" customWidth="1"/>
    <col min="2" max="2" width="12" customWidth="1"/>
    <col min="3" max="3" width="12" style="12" customWidth="1"/>
    <col min="4" max="4" width="12" customWidth="1"/>
    <col min="5" max="5" width="12" style="12" customWidth="1"/>
    <col min="6" max="6" width="12" customWidth="1"/>
    <col min="7" max="7" width="12" style="12" customWidth="1"/>
    <col min="8" max="8" width="12" customWidth="1"/>
    <col min="9" max="9" width="12" style="12" customWidth="1"/>
    <col min="10" max="10" width="12" customWidth="1"/>
    <col min="11" max="11" width="12" style="12" customWidth="1"/>
    <col min="12" max="200" width="12" customWidth="1"/>
  </cols>
  <sheetData>
    <row r="4" spans="1:11" x14ac:dyDescent="0.15">
      <c r="A4" s="1" t="s">
        <v>168</v>
      </c>
    </row>
    <row r="5" spans="1:11" ht="20" x14ac:dyDescent="0.2">
      <c r="A5" s="2" t="s">
        <v>169</v>
      </c>
    </row>
    <row r="7" spans="1:11" ht="14" x14ac:dyDescent="0.15">
      <c r="A7" s="3" t="s">
        <v>170</v>
      </c>
    </row>
    <row r="10" spans="1:11" ht="14" x14ac:dyDescent="0.15">
      <c r="A10" s="4" t="s">
        <v>230</v>
      </c>
    </row>
    <row r="11" spans="1:11" ht="14" x14ac:dyDescent="0.15">
      <c r="A11" s="5" t="s">
        <v>172</v>
      </c>
      <c r="B11" s="6" t="s">
        <v>324</v>
      </c>
      <c r="C11" s="13"/>
      <c r="D11" s="6" t="s">
        <v>325</v>
      </c>
      <c r="E11" s="13"/>
      <c r="F11" s="6" t="s">
        <v>326</v>
      </c>
      <c r="G11" s="13"/>
      <c r="H11" s="6" t="s">
        <v>327</v>
      </c>
      <c r="I11" s="13"/>
      <c r="J11" s="6" t="s">
        <v>328</v>
      </c>
      <c r="K11" s="13"/>
    </row>
    <row r="12" spans="1:11" ht="14" x14ac:dyDescent="0.15">
      <c r="A12" s="5" t="s">
        <v>173</v>
      </c>
      <c r="B12" s="6" t="s">
        <v>174</v>
      </c>
      <c r="C12" s="13"/>
      <c r="D12" s="6" t="s">
        <v>174</v>
      </c>
      <c r="E12" s="13"/>
      <c r="F12" s="6" t="s">
        <v>174</v>
      </c>
      <c r="G12" s="13"/>
      <c r="H12" s="6" t="s">
        <v>174</v>
      </c>
      <c r="I12" s="13"/>
      <c r="J12" s="6" t="s">
        <v>174</v>
      </c>
      <c r="K12" s="13"/>
    </row>
    <row r="13" spans="1:11" ht="14" x14ac:dyDescent="0.15">
      <c r="A13" s="5" t="s">
        <v>175</v>
      </c>
      <c r="B13" s="6" t="s">
        <v>177</v>
      </c>
      <c r="C13" s="13"/>
      <c r="D13" s="6" t="s">
        <v>176</v>
      </c>
      <c r="E13" s="13"/>
      <c r="F13" s="6" t="s">
        <v>176</v>
      </c>
      <c r="G13" s="13"/>
      <c r="H13" s="6" t="s">
        <v>176</v>
      </c>
      <c r="I13" s="13"/>
      <c r="J13" s="6" t="s">
        <v>176</v>
      </c>
      <c r="K13" s="13"/>
    </row>
    <row r="14" spans="1:11" ht="14" x14ac:dyDescent="0.15">
      <c r="A14" s="5" t="s">
        <v>178</v>
      </c>
      <c r="B14" s="6" t="s">
        <v>179</v>
      </c>
      <c r="C14" s="13"/>
      <c r="D14" s="6" t="s">
        <v>179</v>
      </c>
      <c r="E14" s="13"/>
      <c r="F14" s="6" t="s">
        <v>179</v>
      </c>
      <c r="G14" s="13"/>
      <c r="H14" s="6" t="s">
        <v>179</v>
      </c>
      <c r="I14" s="13"/>
      <c r="J14" s="6" t="s">
        <v>179</v>
      </c>
      <c r="K14" s="13"/>
    </row>
    <row r="15" spans="1:11" ht="14" x14ac:dyDescent="0.15">
      <c r="A15" s="5" t="s">
        <v>180</v>
      </c>
      <c r="B15" s="6" t="s">
        <v>181</v>
      </c>
      <c r="C15" s="13"/>
      <c r="D15" s="6" t="s">
        <v>181</v>
      </c>
      <c r="E15" s="13"/>
      <c r="F15" s="6" t="s">
        <v>181</v>
      </c>
      <c r="G15" s="13"/>
      <c r="H15" s="6" t="s">
        <v>181</v>
      </c>
      <c r="I15" s="13"/>
      <c r="J15" s="6" t="s">
        <v>181</v>
      </c>
      <c r="K15" s="13"/>
    </row>
    <row r="16" spans="1:11" x14ac:dyDescent="0.15">
      <c r="A16" s="7" t="s">
        <v>21</v>
      </c>
      <c r="B16" s="8">
        <v>11223000</v>
      </c>
      <c r="C16" s="14">
        <f>IFERROR(B16/B$16,"Missing")</f>
        <v>1</v>
      </c>
      <c r="D16" s="8">
        <v>10059844</v>
      </c>
      <c r="E16" s="14">
        <f t="shared" ref="E16:G66" si="0">IFERROR(D16/D$16,"Missing")</f>
        <v>1</v>
      </c>
      <c r="F16" s="8">
        <v>8773564</v>
      </c>
      <c r="G16" s="14">
        <f t="shared" si="0"/>
        <v>1</v>
      </c>
      <c r="H16" s="8">
        <v>6672317</v>
      </c>
      <c r="I16" s="14">
        <f t="shared" ref="I16" si="1">IFERROR(H16/H$16,"Missing")</f>
        <v>1</v>
      </c>
      <c r="J16" s="8">
        <v>5763485</v>
      </c>
      <c r="K16" s="14">
        <f t="shared" ref="K16:K66" si="2">IFERROR(J16/J$16,"Missing")</f>
        <v>1</v>
      </c>
    </row>
    <row r="17" spans="1:11" x14ac:dyDescent="0.15">
      <c r="A17" s="7" t="s">
        <v>22</v>
      </c>
      <c r="B17" s="8">
        <v>1965000</v>
      </c>
      <c r="C17" s="14">
        <f t="shared" ref="C17:C66" si="3">IFERROR(B17/B$16,"Missing")</f>
        <v>0.17508687516706764</v>
      </c>
      <c r="D17" s="8">
        <v>1756531</v>
      </c>
      <c r="E17" s="14">
        <f t="shared" si="0"/>
        <v>0.1746081748384965</v>
      </c>
      <c r="F17" s="8">
        <v>1596698</v>
      </c>
      <c r="G17" s="14">
        <f t="shared" si="0"/>
        <v>0.18198966805280042</v>
      </c>
      <c r="H17" s="8">
        <v>1309559</v>
      </c>
      <c r="I17" s="14">
        <f t="shared" ref="I17" si="4">IFERROR(H17/H$16,"Missing")</f>
        <v>0.19626750347742772</v>
      </c>
      <c r="J17" s="8">
        <v>1179081</v>
      </c>
      <c r="K17" s="14">
        <f t="shared" si="2"/>
        <v>0.20457778583617378</v>
      </c>
    </row>
    <row r="18" spans="1:11" x14ac:dyDescent="0.15">
      <c r="A18" s="7" t="s">
        <v>25</v>
      </c>
      <c r="B18" s="8">
        <v>5767000</v>
      </c>
      <c r="C18" s="14">
        <f t="shared" si="3"/>
        <v>0.51385547536309362</v>
      </c>
      <c r="D18" s="8">
        <v>5297832</v>
      </c>
      <c r="E18" s="14">
        <f t="shared" si="0"/>
        <v>0.52663162569916588</v>
      </c>
      <c r="F18" s="8">
        <v>4367417</v>
      </c>
      <c r="G18" s="14">
        <f t="shared" si="0"/>
        <v>0.49779280119230906</v>
      </c>
      <c r="H18" s="8">
        <v>3381086</v>
      </c>
      <c r="I18" s="14">
        <f t="shared" ref="I18" si="5">IFERROR(H18/H$16,"Missing")</f>
        <v>0.50673341809149652</v>
      </c>
      <c r="J18" s="8">
        <v>2808329</v>
      </c>
      <c r="K18" s="14">
        <f t="shared" si="2"/>
        <v>0.4872623074407238</v>
      </c>
    </row>
    <row r="19" spans="1:11" x14ac:dyDescent="0.15">
      <c r="A19" s="7" t="s">
        <v>24</v>
      </c>
      <c r="B19" s="8">
        <v>1617000</v>
      </c>
      <c r="C19" s="14">
        <f t="shared" si="3"/>
        <v>0.14407912322908314</v>
      </c>
      <c r="D19" s="8">
        <v>1386787</v>
      </c>
      <c r="E19" s="14">
        <f t="shared" si="0"/>
        <v>0.13785372814926355</v>
      </c>
      <c r="F19" s="8">
        <v>1235019</v>
      </c>
      <c r="G19" s="14">
        <f t="shared" si="0"/>
        <v>0.14076594186809374</v>
      </c>
      <c r="H19" s="8">
        <v>830244</v>
      </c>
      <c r="I19" s="14">
        <f t="shared" ref="I19" si="6">IFERROR(H19/H$16,"Missing")</f>
        <v>0.1244311383886587</v>
      </c>
      <c r="J19" s="8">
        <v>686154</v>
      </c>
      <c r="K19" s="14">
        <f t="shared" si="2"/>
        <v>0.11905192778327696</v>
      </c>
    </row>
    <row r="20" spans="1:11" x14ac:dyDescent="0.15">
      <c r="A20" s="7" t="s">
        <v>26</v>
      </c>
      <c r="B20" s="8">
        <v>808000</v>
      </c>
      <c r="C20" s="14">
        <f t="shared" si="3"/>
        <v>7.1995010246814581E-2</v>
      </c>
      <c r="D20" s="8">
        <v>675961</v>
      </c>
      <c r="E20" s="14">
        <f t="shared" si="0"/>
        <v>6.719398432023399E-2</v>
      </c>
      <c r="F20" s="8">
        <v>678292</v>
      </c>
      <c r="G20" s="14">
        <f t="shared" si="0"/>
        <v>7.7310885291313775E-2</v>
      </c>
      <c r="H20" s="8">
        <v>573913</v>
      </c>
      <c r="I20" s="14">
        <f t="shared" ref="I20" si="7">IFERROR(H20/H$16,"Missing")</f>
        <v>8.6014048792945538E-2</v>
      </c>
      <c r="J20" s="8">
        <v>425373</v>
      </c>
      <c r="K20" s="14">
        <f t="shared" si="2"/>
        <v>7.3804824685064677E-2</v>
      </c>
    </row>
    <row r="21" spans="1:11" x14ac:dyDescent="0.15">
      <c r="A21" s="7" t="s">
        <v>231</v>
      </c>
      <c r="B21" s="8">
        <v>283000</v>
      </c>
      <c r="C21" s="14">
        <f t="shared" si="3"/>
        <v>2.5216074133475899E-2</v>
      </c>
      <c r="D21" s="8">
        <v>275445</v>
      </c>
      <c r="E21" s="14">
        <f t="shared" si="0"/>
        <v>2.7380643278364952E-2</v>
      </c>
      <c r="F21" s="8">
        <v>317141</v>
      </c>
      <c r="G21" s="14">
        <f t="shared" si="0"/>
        <v>3.6147339895166893E-2</v>
      </c>
      <c r="H21" s="8">
        <v>163665</v>
      </c>
      <c r="I21" s="14">
        <f t="shared" ref="I21" si="8">IFERROR(H21/H$16,"Missing")</f>
        <v>2.4528960479545562E-2</v>
      </c>
      <c r="J21" s="8">
        <v>79615</v>
      </c>
      <c r="K21" s="14">
        <f t="shared" si="2"/>
        <v>1.3813690848505722E-2</v>
      </c>
    </row>
    <row r="22" spans="1:11" x14ac:dyDescent="0.15">
      <c r="A22" s="7" t="s">
        <v>232</v>
      </c>
      <c r="B22" s="8">
        <v>86000</v>
      </c>
      <c r="C22" s="14">
        <f t="shared" si="3"/>
        <v>7.6628352490421452E-3</v>
      </c>
      <c r="D22" s="9" t="s">
        <v>6</v>
      </c>
      <c r="E22" s="14" t="str">
        <f t="shared" si="0"/>
        <v>Missing</v>
      </c>
      <c r="F22" s="9" t="s">
        <v>6</v>
      </c>
      <c r="G22" s="14" t="str">
        <f t="shared" si="0"/>
        <v>Missing</v>
      </c>
      <c r="H22" s="9" t="s">
        <v>6</v>
      </c>
      <c r="I22" s="14" t="str">
        <f t="shared" ref="I22" si="9">IFERROR(H22/H$16,"Missing")</f>
        <v>Missing</v>
      </c>
      <c r="J22" s="9" t="s">
        <v>6</v>
      </c>
      <c r="K22" s="14" t="str">
        <f t="shared" si="2"/>
        <v>Missing</v>
      </c>
    </row>
    <row r="23" spans="1:11" x14ac:dyDescent="0.15">
      <c r="A23" s="7" t="s">
        <v>233</v>
      </c>
      <c r="B23" s="8">
        <v>42000</v>
      </c>
      <c r="C23" s="14">
        <f t="shared" si="3"/>
        <v>3.7423148890670943E-3</v>
      </c>
      <c r="D23" s="9" t="s">
        <v>6</v>
      </c>
      <c r="E23" s="14" t="str">
        <f t="shared" si="0"/>
        <v>Missing</v>
      </c>
      <c r="F23" s="8">
        <v>34890</v>
      </c>
      <c r="G23" s="14">
        <f t="shared" si="0"/>
        <v>3.9767191531286487E-3</v>
      </c>
      <c r="H23" s="9" t="s">
        <v>6</v>
      </c>
      <c r="I23" s="14" t="str">
        <f t="shared" ref="I23" si="10">IFERROR(H23/H$16,"Missing")</f>
        <v>Missing</v>
      </c>
      <c r="J23" s="9" t="s">
        <v>6</v>
      </c>
      <c r="K23" s="14" t="str">
        <f t="shared" si="2"/>
        <v>Missing</v>
      </c>
    </row>
    <row r="24" spans="1:11" x14ac:dyDescent="0.15">
      <c r="A24" s="7" t="s">
        <v>234</v>
      </c>
      <c r="B24" s="8">
        <v>-59000</v>
      </c>
      <c r="C24" s="14">
        <f t="shared" si="3"/>
        <v>-5.2570613917847274E-3</v>
      </c>
      <c r="D24" s="8">
        <v>25412</v>
      </c>
      <c r="E24" s="14">
        <f t="shared" si="0"/>
        <v>2.5260829094367666E-3</v>
      </c>
      <c r="F24" s="8">
        <v>26498</v>
      </c>
      <c r="G24" s="14">
        <f t="shared" si="0"/>
        <v>3.0202093470794765E-3</v>
      </c>
      <c r="H24" s="8">
        <v>-104587</v>
      </c>
      <c r="I24" s="14">
        <f t="shared" ref="I24" si="11">IFERROR(H24/H$16,"Missing")</f>
        <v>-1.5674764853048799E-2</v>
      </c>
      <c r="J24" s="8">
        <v>41539</v>
      </c>
      <c r="K24" s="14">
        <f t="shared" si="2"/>
        <v>7.2072712950584589E-3</v>
      </c>
    </row>
    <row r="25" spans="1:11" x14ac:dyDescent="0.15">
      <c r="A25" s="7" t="s">
        <v>235</v>
      </c>
      <c r="B25" s="9" t="s">
        <v>6</v>
      </c>
      <c r="C25" s="14" t="str">
        <f t="shared" si="3"/>
        <v>Missing</v>
      </c>
      <c r="D25" s="8">
        <v>16738</v>
      </c>
      <c r="E25" s="14">
        <f t="shared" si="0"/>
        <v>1.6638428985578703E-3</v>
      </c>
      <c r="F25" s="8">
        <v>55907</v>
      </c>
      <c r="G25" s="14">
        <f t="shared" si="0"/>
        <v>6.3722108826014152E-3</v>
      </c>
      <c r="H25" s="8">
        <v>104871</v>
      </c>
      <c r="I25" s="14">
        <f t="shared" ref="I25" si="12">IFERROR(H25/H$16,"Missing")</f>
        <v>1.571732877799421E-2</v>
      </c>
      <c r="J25" s="8">
        <v>25630</v>
      </c>
      <c r="K25" s="14">
        <f t="shared" si="2"/>
        <v>4.4469622112315726E-3</v>
      </c>
    </row>
    <row r="26" spans="1:11" x14ac:dyDescent="0.15">
      <c r="A26" s="7" t="s">
        <v>236</v>
      </c>
      <c r="B26" s="8">
        <v>714000</v>
      </c>
      <c r="C26" s="14">
        <f t="shared" si="3"/>
        <v>6.3619353114140603E-2</v>
      </c>
      <c r="D26" s="8">
        <v>625138</v>
      </c>
      <c r="E26" s="14">
        <f t="shared" si="0"/>
        <v>6.2141917906480458E-2</v>
      </c>
      <c r="F26" s="8">
        <v>461702</v>
      </c>
      <c r="G26" s="14">
        <f t="shared" si="0"/>
        <v>5.2624224317506546E-2</v>
      </c>
      <c r="H26" s="8">
        <v>413566</v>
      </c>
      <c r="I26" s="14">
        <f t="shared" ref="I26" si="13">IFERROR(H26/H$16,"Missing")</f>
        <v>6.1982366844980534E-2</v>
      </c>
      <c r="J26" s="8">
        <v>517764</v>
      </c>
      <c r="K26" s="14">
        <f t="shared" si="2"/>
        <v>8.9835229899965036E-2</v>
      </c>
    </row>
    <row r="27" spans="1:11" x14ac:dyDescent="0.15">
      <c r="A27" s="7" t="s">
        <v>237</v>
      </c>
      <c r="B27" s="8">
        <v>71000</v>
      </c>
      <c r="C27" s="14">
        <f t="shared" si="3"/>
        <v>6.3262942172324687E-3</v>
      </c>
      <c r="D27" s="8">
        <v>34137</v>
      </c>
      <c r="E27" s="14">
        <f t="shared" si="0"/>
        <v>3.3933925814356564E-3</v>
      </c>
      <c r="F27" s="8">
        <v>19726</v>
      </c>
      <c r="G27" s="14">
        <f t="shared" si="0"/>
        <v>2.2483451422933712E-3</v>
      </c>
      <c r="H27" s="8">
        <v>16695</v>
      </c>
      <c r="I27" s="14">
        <f t="shared" ref="I27" si="14">IFERROR(H27/H$16,"Missing")</f>
        <v>2.5021293202945843E-3</v>
      </c>
      <c r="J27" s="8">
        <v>27288</v>
      </c>
      <c r="K27" s="14">
        <f t="shared" si="2"/>
        <v>4.7346353811973134E-3</v>
      </c>
    </row>
    <row r="28" spans="1:11" x14ac:dyDescent="0.15">
      <c r="A28" s="7" t="s">
        <v>238</v>
      </c>
      <c r="B28" s="8">
        <v>190000</v>
      </c>
      <c r="C28" s="14">
        <f t="shared" si="3"/>
        <v>1.6929519736255904E-2</v>
      </c>
      <c r="D28" s="8">
        <v>181712</v>
      </c>
      <c r="E28" s="14">
        <f t="shared" si="0"/>
        <v>1.8063103165416879E-2</v>
      </c>
      <c r="F28" s="8">
        <v>173148</v>
      </c>
      <c r="G28" s="14">
        <f t="shared" si="0"/>
        <v>1.9735195412035521E-2</v>
      </c>
      <c r="H28" s="8">
        <v>126195</v>
      </c>
      <c r="I28" s="14">
        <f t="shared" ref="I28" si="15">IFERROR(H28/H$16,"Missing")</f>
        <v>1.8913220100303989E-2</v>
      </c>
      <c r="J28" s="8">
        <v>98089</v>
      </c>
      <c r="K28" s="14">
        <f t="shared" si="2"/>
        <v>1.7019043165723516E-2</v>
      </c>
    </row>
    <row r="29" spans="1:11" x14ac:dyDescent="0.15">
      <c r="A29" s="7" t="s">
        <v>239</v>
      </c>
      <c r="B29" s="9" t="s">
        <v>6</v>
      </c>
      <c r="C29" s="14" t="str">
        <f t="shared" si="3"/>
        <v>Missing</v>
      </c>
      <c r="D29" s="9" t="s">
        <v>6</v>
      </c>
      <c r="E29" s="14" t="str">
        <f t="shared" si="0"/>
        <v>Missing</v>
      </c>
      <c r="F29" s="9" t="s">
        <v>6</v>
      </c>
      <c r="G29" s="14" t="str">
        <f t="shared" si="0"/>
        <v>Missing</v>
      </c>
      <c r="H29" s="8">
        <v>508810</v>
      </c>
      <c r="I29" s="14">
        <f t="shared" ref="I29" si="16">IFERROR(H29/H$16,"Missing")</f>
        <v>7.6256868491110366E-2</v>
      </c>
      <c r="J29" s="9" t="s">
        <v>6</v>
      </c>
      <c r="K29" s="14" t="str">
        <f t="shared" si="2"/>
        <v>Missing</v>
      </c>
    </row>
    <row r="30" spans="1:11" x14ac:dyDescent="0.15">
      <c r="A30" s="7" t="s">
        <v>240</v>
      </c>
      <c r="B30" s="8">
        <v>3000</v>
      </c>
      <c r="C30" s="14">
        <f t="shared" si="3"/>
        <v>2.6730820636193531E-4</v>
      </c>
      <c r="D30" s="8">
        <v>-45614</v>
      </c>
      <c r="E30" s="14">
        <f t="shared" si="0"/>
        <v>-4.5342651436741958E-3</v>
      </c>
      <c r="F30" s="8">
        <v>-15244</v>
      </c>
      <c r="G30" s="14">
        <f t="shared" si="0"/>
        <v>-1.7374923121322189E-3</v>
      </c>
      <c r="H30" s="8">
        <v>24787</v>
      </c>
      <c r="I30" s="14">
        <f t="shared" ref="I30" si="17">IFERROR(H30/H$16,"Missing")</f>
        <v>3.7149014352885214E-3</v>
      </c>
      <c r="J30" s="8">
        <v>6069</v>
      </c>
      <c r="K30" s="14">
        <f t="shared" si="2"/>
        <v>1.0530087264910032E-3</v>
      </c>
    </row>
    <row r="31" spans="1:11" x14ac:dyDescent="0.15">
      <c r="A31" s="7" t="s">
        <v>241</v>
      </c>
      <c r="B31" s="9" t="s">
        <v>6</v>
      </c>
      <c r="C31" s="14" t="str">
        <f t="shared" si="3"/>
        <v>Missing</v>
      </c>
      <c r="D31" s="8">
        <v>-1678</v>
      </c>
      <c r="E31" s="14">
        <f t="shared" si="0"/>
        <v>-1.6680179135978649E-4</v>
      </c>
      <c r="F31" s="9" t="s">
        <v>6</v>
      </c>
      <c r="G31" s="14" t="str">
        <f t="shared" si="0"/>
        <v>Missing</v>
      </c>
      <c r="H31" s="8">
        <v>-77400</v>
      </c>
      <c r="I31" s="14">
        <f t="shared" ref="I31" si="18">IFERROR(H31/H$16,"Missing")</f>
        <v>-1.160016827737651E-2</v>
      </c>
      <c r="J31" s="8">
        <v>-2783</v>
      </c>
      <c r="K31" s="14">
        <f t="shared" si="2"/>
        <v>-4.8286757057578876E-4</v>
      </c>
    </row>
    <row r="32" spans="1:11" x14ac:dyDescent="0.15">
      <c r="A32" s="7" t="s">
        <v>242</v>
      </c>
      <c r="B32" s="8">
        <v>111000</v>
      </c>
      <c r="C32" s="14">
        <f t="shared" si="3"/>
        <v>9.8904036353916064E-3</v>
      </c>
      <c r="D32" s="9" t="s">
        <v>6</v>
      </c>
      <c r="E32" s="14" t="str">
        <f t="shared" si="0"/>
        <v>Missing</v>
      </c>
      <c r="F32" s="9" t="s">
        <v>6</v>
      </c>
      <c r="G32" s="14" t="str">
        <f t="shared" si="0"/>
        <v>Missing</v>
      </c>
      <c r="H32" s="9" t="s">
        <v>6</v>
      </c>
      <c r="I32" s="14" t="str">
        <f t="shared" ref="I32" si="19">IFERROR(H32/H$16,"Missing")</f>
        <v>Missing</v>
      </c>
      <c r="J32" s="9" t="s">
        <v>6</v>
      </c>
      <c r="K32" s="14" t="str">
        <f t="shared" si="2"/>
        <v>Missing</v>
      </c>
    </row>
    <row r="33" spans="1:11" x14ac:dyDescent="0.15">
      <c r="A33" s="7" t="s">
        <v>243</v>
      </c>
      <c r="B33" s="9" t="s">
        <v>6</v>
      </c>
      <c r="C33" s="14" t="str">
        <f t="shared" si="3"/>
        <v>Missing</v>
      </c>
      <c r="D33" s="9" t="s">
        <v>6</v>
      </c>
      <c r="E33" s="14" t="str">
        <f t="shared" si="0"/>
        <v>Missing</v>
      </c>
      <c r="F33" s="8">
        <v>12117</v>
      </c>
      <c r="G33" s="14">
        <f t="shared" si="0"/>
        <v>1.3810807101880148E-3</v>
      </c>
      <c r="H33" s="9" t="s">
        <v>6</v>
      </c>
      <c r="I33" s="14" t="str">
        <f t="shared" ref="I33" si="20">IFERROR(H33/H$16,"Missing")</f>
        <v>Missing</v>
      </c>
      <c r="J33" s="9" t="s">
        <v>6</v>
      </c>
      <c r="K33" s="14" t="str">
        <f t="shared" si="2"/>
        <v>Missing</v>
      </c>
    </row>
    <row r="34" spans="1:11" x14ac:dyDescent="0.15">
      <c r="A34" s="7" t="s">
        <v>244</v>
      </c>
      <c r="B34" s="9" t="s">
        <v>6</v>
      </c>
      <c r="C34" s="14" t="str">
        <f t="shared" si="3"/>
        <v>Missing</v>
      </c>
      <c r="D34" s="8">
        <v>-14318</v>
      </c>
      <c r="E34" s="14">
        <f t="shared" si="0"/>
        <v>-1.4232825081581782E-3</v>
      </c>
      <c r="F34" s="9" t="s">
        <v>6</v>
      </c>
      <c r="G34" s="14" t="str">
        <f t="shared" si="0"/>
        <v>Missing</v>
      </c>
      <c r="H34" s="9" t="s">
        <v>6</v>
      </c>
      <c r="I34" s="14" t="str">
        <f t="shared" ref="I34" si="21">IFERROR(H34/H$16,"Missing")</f>
        <v>Missing</v>
      </c>
      <c r="J34" s="9" t="s">
        <v>6</v>
      </c>
      <c r="K34" s="14" t="str">
        <f t="shared" si="2"/>
        <v>Missing</v>
      </c>
    </row>
    <row r="35" spans="1:11" x14ac:dyDescent="0.15">
      <c r="A35" s="7" t="s">
        <v>245</v>
      </c>
      <c r="B35" s="9" t="s">
        <v>6</v>
      </c>
      <c r="C35" s="14" t="str">
        <f t="shared" si="3"/>
        <v>Missing</v>
      </c>
      <c r="D35" s="8">
        <v>232</v>
      </c>
      <c r="E35" s="14">
        <f t="shared" si="0"/>
        <v>2.306198783997048E-5</v>
      </c>
      <c r="F35" s="8">
        <v>-1490</v>
      </c>
      <c r="G35" s="14">
        <f t="shared" si="0"/>
        <v>-1.6982836165553702E-4</v>
      </c>
      <c r="H35" s="8">
        <v>-13</v>
      </c>
      <c r="I35" s="14">
        <f t="shared" ref="I35" si="22">IFERROR(H35/H$16,"Missing")</f>
        <v>-1.9483486770787418E-6</v>
      </c>
      <c r="J35" s="8">
        <v>2743</v>
      </c>
      <c r="K35" s="14">
        <f t="shared" si="2"/>
        <v>4.7592732522076488E-4</v>
      </c>
    </row>
    <row r="36" spans="1:11" x14ac:dyDescent="0.15">
      <c r="A36" s="7" t="s">
        <v>246</v>
      </c>
      <c r="B36" s="8">
        <v>-2000</v>
      </c>
      <c r="C36" s="14">
        <f t="shared" si="3"/>
        <v>-1.7820547090795688E-4</v>
      </c>
      <c r="D36" s="8">
        <v>-2777</v>
      </c>
      <c r="E36" s="14">
        <f t="shared" si="0"/>
        <v>-2.7604801823964665E-4</v>
      </c>
      <c r="F36" s="8">
        <v>-2829</v>
      </c>
      <c r="G36" s="14">
        <f t="shared" si="0"/>
        <v>-3.2244592961309682E-4</v>
      </c>
      <c r="H36" s="8">
        <v>10912</v>
      </c>
      <c r="I36" s="14">
        <f t="shared" ref="I36" si="23">IFERROR(H36/H$16,"Missing")</f>
        <v>1.6354139049448639E-3</v>
      </c>
      <c r="J36" s="8">
        <v>6083</v>
      </c>
      <c r="K36" s="14">
        <f t="shared" si="2"/>
        <v>1.0554378123652616E-3</v>
      </c>
    </row>
    <row r="37" spans="1:11" x14ac:dyDescent="0.15">
      <c r="A37" s="7" t="s">
        <v>247</v>
      </c>
      <c r="B37" s="8">
        <v>-110000</v>
      </c>
      <c r="C37" s="14">
        <f t="shared" si="3"/>
        <v>-9.8013008999376285E-3</v>
      </c>
      <c r="D37" s="8">
        <v>-60799</v>
      </c>
      <c r="E37" s="14">
        <f t="shared" si="0"/>
        <v>-6.0437318908722641E-3</v>
      </c>
      <c r="F37" s="8">
        <v>-31680</v>
      </c>
      <c r="G37" s="14">
        <f t="shared" si="0"/>
        <v>-3.6108473135888675E-3</v>
      </c>
      <c r="H37" s="8">
        <v>113086</v>
      </c>
      <c r="I37" s="14">
        <f t="shared" ref="I37" si="24">IFERROR(H37/H$16,"Missing")</f>
        <v>1.6948535268932818E-2</v>
      </c>
      <c r="J37" s="8">
        <v>17678</v>
      </c>
      <c r="K37" s="14">
        <f t="shared" si="2"/>
        <v>3.0672414346528186E-3</v>
      </c>
    </row>
    <row r="38" spans="1:11" x14ac:dyDescent="0.15">
      <c r="A38" s="7" t="s">
        <v>248</v>
      </c>
      <c r="B38" s="8">
        <v>-229000</v>
      </c>
      <c r="C38" s="14">
        <f t="shared" si="3"/>
        <v>-2.0404526418961063E-2</v>
      </c>
      <c r="D38" s="8">
        <v>-208374</v>
      </c>
      <c r="E38" s="14">
        <f t="shared" si="0"/>
        <v>-2.0713442474853488E-2</v>
      </c>
      <c r="F38" s="8">
        <v>-185102</v>
      </c>
      <c r="G38" s="14">
        <f t="shared" si="0"/>
        <v>-2.1097697583331017E-2</v>
      </c>
      <c r="H38" s="8">
        <v>512396</v>
      </c>
      <c r="I38" s="14">
        <f t="shared" ref="I38" si="25">IFERROR(H38/H$16,"Missing")</f>
        <v>7.6794312980033766E-2</v>
      </c>
      <c r="J38" s="8">
        <v>-53123</v>
      </c>
      <c r="K38" s="14">
        <f t="shared" si="2"/>
        <v>-9.2171663498733843E-3</v>
      </c>
    </row>
    <row r="39" spans="1:11" x14ac:dyDescent="0.15">
      <c r="A39" s="7" t="s">
        <v>249</v>
      </c>
      <c r="B39" s="8">
        <v>32000</v>
      </c>
      <c r="C39" s="14">
        <f t="shared" si="3"/>
        <v>2.8512875345273101E-3</v>
      </c>
      <c r="D39" s="8">
        <v>-44867</v>
      </c>
      <c r="E39" s="14">
        <f t="shared" si="0"/>
        <v>-4.4600095190342913E-3</v>
      </c>
      <c r="F39" s="8">
        <v>-47205</v>
      </c>
      <c r="G39" s="14">
        <f t="shared" si="0"/>
        <v>-5.3803676590265942E-3</v>
      </c>
      <c r="H39" s="8">
        <v>24397</v>
      </c>
      <c r="I39" s="14">
        <f t="shared" ref="I39" si="26">IFERROR(H39/H$16,"Missing")</f>
        <v>3.6564509749761592E-3</v>
      </c>
      <c r="J39" s="8">
        <v>176820</v>
      </c>
      <c r="K39" s="14">
        <f t="shared" si="2"/>
        <v>3.0679354591883208E-2</v>
      </c>
    </row>
    <row r="40" spans="1:11" x14ac:dyDescent="0.15">
      <c r="A40" s="7" t="s">
        <v>250</v>
      </c>
      <c r="B40" s="8">
        <v>453000</v>
      </c>
      <c r="C40" s="14">
        <f t="shared" si="3"/>
        <v>4.0363539160652231E-2</v>
      </c>
      <c r="D40" s="8">
        <v>461631</v>
      </c>
      <c r="E40" s="14">
        <f t="shared" si="0"/>
        <v>4.5888484950661265E-2</v>
      </c>
      <c r="F40" s="8">
        <v>323805</v>
      </c>
      <c r="G40" s="14">
        <f t="shared" si="0"/>
        <v>3.6906894393202126E-2</v>
      </c>
      <c r="H40" s="8">
        <v>901565</v>
      </c>
      <c r="I40" s="14">
        <f t="shared" ref="I40" si="27">IFERROR(H40/H$16,"Missing")</f>
        <v>0.13512022885003816</v>
      </c>
      <c r="J40" s="8">
        <v>287821</v>
      </c>
      <c r="K40" s="14">
        <f t="shared" si="2"/>
        <v>4.9938708958208448E-2</v>
      </c>
    </row>
    <row r="41" spans="1:11" x14ac:dyDescent="0.15">
      <c r="A41" s="7" t="s">
        <v>251</v>
      </c>
      <c r="B41" s="8">
        <v>485000</v>
      </c>
      <c r="C41" s="14">
        <f t="shared" si="3"/>
        <v>4.3214826695179544E-2</v>
      </c>
      <c r="D41" s="8">
        <v>416764</v>
      </c>
      <c r="E41" s="14">
        <f t="shared" si="0"/>
        <v>4.142847543162697E-2</v>
      </c>
      <c r="F41" s="8">
        <v>276600</v>
      </c>
      <c r="G41" s="14">
        <f t="shared" si="0"/>
        <v>3.1526526734175532E-2</v>
      </c>
      <c r="H41" s="8">
        <v>925962</v>
      </c>
      <c r="I41" s="14">
        <f t="shared" ref="I41" si="28">IFERROR(H41/H$16,"Missing")</f>
        <v>0.13877667982501432</v>
      </c>
      <c r="J41" s="8">
        <v>464641</v>
      </c>
      <c r="K41" s="14">
        <f t="shared" si="2"/>
        <v>8.0618063550091656E-2</v>
      </c>
    </row>
    <row r="42" spans="1:11" x14ac:dyDescent="0.15">
      <c r="A42" s="7" t="s">
        <v>252</v>
      </c>
      <c r="B42" s="8">
        <v>186000</v>
      </c>
      <c r="C42" s="14">
        <f t="shared" si="3"/>
        <v>1.6573108794439989E-2</v>
      </c>
      <c r="D42" s="8">
        <v>12671</v>
      </c>
      <c r="E42" s="14">
        <f t="shared" si="0"/>
        <v>1.2595622755183877E-3</v>
      </c>
      <c r="F42" s="8">
        <v>-41418</v>
      </c>
      <c r="G42" s="14">
        <f t="shared" si="0"/>
        <v>-4.720772538959082E-3</v>
      </c>
      <c r="H42" s="8">
        <v>154050</v>
      </c>
      <c r="I42" s="14">
        <f t="shared" ref="I42" si="29">IFERROR(H42/H$16,"Missing")</f>
        <v>2.3087931823383093E-2</v>
      </c>
      <c r="J42" s="8">
        <v>120541</v>
      </c>
      <c r="K42" s="14">
        <f t="shared" si="2"/>
        <v>2.0914602883498438E-2</v>
      </c>
    </row>
    <row r="43" spans="1:11" x14ac:dyDescent="0.15">
      <c r="A43" s="7" t="s">
        <v>253</v>
      </c>
      <c r="B43" s="8">
        <v>42000</v>
      </c>
      <c r="C43" s="14">
        <f t="shared" si="3"/>
        <v>3.7423148890670943E-3</v>
      </c>
      <c r="D43" s="8">
        <v>5862</v>
      </c>
      <c r="E43" s="14">
        <f t="shared" si="0"/>
        <v>5.8271281343925409E-4</v>
      </c>
      <c r="F43" s="8">
        <v>5875</v>
      </c>
      <c r="G43" s="14">
        <f t="shared" si="0"/>
        <v>6.6962525149414764E-4</v>
      </c>
      <c r="H43" s="8">
        <v>1440</v>
      </c>
      <c r="I43" s="14">
        <f t="shared" ref="I43" si="30">IFERROR(H43/H$16,"Missing")</f>
        <v>2.1581708423026064E-4</v>
      </c>
      <c r="J43" s="8">
        <v>6645</v>
      </c>
      <c r="K43" s="14">
        <f t="shared" si="2"/>
        <v>1.1529482596033477E-3</v>
      </c>
    </row>
    <row r="44" spans="1:11" x14ac:dyDescent="0.15">
      <c r="A44" s="7" t="s">
        <v>254</v>
      </c>
      <c r="B44" s="8">
        <v>167000</v>
      </c>
      <c r="C44" s="14">
        <f t="shared" si="3"/>
        <v>1.4880156820814399E-2</v>
      </c>
      <c r="D44" s="8">
        <v>130180</v>
      </c>
      <c r="E44" s="14">
        <f t="shared" si="0"/>
        <v>1.2940558521583436E-2</v>
      </c>
      <c r="F44" s="8">
        <v>64946</v>
      </c>
      <c r="G44" s="14">
        <f t="shared" si="0"/>
        <v>7.4024649503896022E-3</v>
      </c>
      <c r="H44" s="8">
        <v>69359</v>
      </c>
      <c r="I44" s="14">
        <f t="shared" ref="I44" si="31">IFERROR(H44/H$16,"Missing")</f>
        <v>1.0395039684115728E-2</v>
      </c>
      <c r="J44" s="8">
        <v>43536</v>
      </c>
      <c r="K44" s="14">
        <f t="shared" si="2"/>
        <v>7.5537630444080274E-3</v>
      </c>
    </row>
    <row r="45" spans="1:11" x14ac:dyDescent="0.15">
      <c r="A45" s="7" t="s">
        <v>255</v>
      </c>
      <c r="B45" s="8">
        <v>395000</v>
      </c>
      <c r="C45" s="14">
        <f t="shared" si="3"/>
        <v>3.5195580504321484E-2</v>
      </c>
      <c r="D45" s="8">
        <v>148713</v>
      </c>
      <c r="E45" s="14">
        <f t="shared" si="0"/>
        <v>1.4782833610541078E-2</v>
      </c>
      <c r="F45" s="8">
        <v>29403</v>
      </c>
      <c r="G45" s="14">
        <f t="shared" si="0"/>
        <v>3.3513176629246678E-3</v>
      </c>
      <c r="H45" s="8">
        <v>224849</v>
      </c>
      <c r="I45" s="14">
        <f t="shared" ref="I45" si="32">IFERROR(H45/H$16,"Missing")</f>
        <v>3.3698788591729083E-2</v>
      </c>
      <c r="J45" s="8">
        <v>170722</v>
      </c>
      <c r="K45" s="14">
        <f t="shared" si="2"/>
        <v>2.9621314187509813E-2</v>
      </c>
    </row>
    <row r="46" spans="1:11" x14ac:dyDescent="0.15">
      <c r="A46" s="7" t="s">
        <v>256</v>
      </c>
      <c r="B46" s="8">
        <v>-273000</v>
      </c>
      <c r="C46" s="14">
        <f t="shared" si="3"/>
        <v>-2.4325046778936113E-2</v>
      </c>
      <c r="D46" s="8">
        <v>-93842</v>
      </c>
      <c r="E46" s="14">
        <f t="shared" si="0"/>
        <v>-9.3283752710280592E-3</v>
      </c>
      <c r="F46" s="8">
        <v>-5166</v>
      </c>
      <c r="G46" s="14">
        <f t="shared" si="0"/>
        <v>-5.888143062500029E-4</v>
      </c>
      <c r="H46" s="8">
        <v>-6865</v>
      </c>
      <c r="I46" s="14">
        <f t="shared" ref="I46" si="33">IFERROR(H46/H$16,"Missing")</f>
        <v>-1.0288779744727357E-3</v>
      </c>
      <c r="J46" s="8">
        <v>-47390</v>
      </c>
      <c r="K46" s="14">
        <f t="shared" si="2"/>
        <v>-8.2224556843645807E-3</v>
      </c>
    </row>
    <row r="47" spans="1:11" x14ac:dyDescent="0.15">
      <c r="A47" s="7" t="s">
        <v>257</v>
      </c>
      <c r="B47" s="8">
        <v>-25000</v>
      </c>
      <c r="C47" s="14">
        <f t="shared" si="3"/>
        <v>-2.2275683863494608E-3</v>
      </c>
      <c r="D47" s="8">
        <v>-891</v>
      </c>
      <c r="E47" s="14">
        <f t="shared" si="0"/>
        <v>-8.8569961919886624E-5</v>
      </c>
      <c r="F47" s="8">
        <v>-2863</v>
      </c>
      <c r="G47" s="14">
        <f t="shared" si="0"/>
        <v>-3.2632120766429697E-4</v>
      </c>
      <c r="H47" s="8">
        <v>2156</v>
      </c>
      <c r="I47" s="14">
        <f t="shared" ref="I47" si="34">IFERROR(H47/H$16,"Missing")</f>
        <v>3.2312613444475136E-4</v>
      </c>
      <c r="J47" s="8">
        <v>-2419</v>
      </c>
      <c r="K47" s="14">
        <f t="shared" si="2"/>
        <v>-4.1971133784507117E-4</v>
      </c>
    </row>
    <row r="48" spans="1:11" x14ac:dyDescent="0.15">
      <c r="A48" s="7" t="s">
        <v>258</v>
      </c>
      <c r="B48" s="8">
        <v>-10000</v>
      </c>
      <c r="C48" s="14">
        <f t="shared" si="3"/>
        <v>-8.9102735453978432E-4</v>
      </c>
      <c r="D48" s="8">
        <v>-8575</v>
      </c>
      <c r="E48" s="14">
        <f t="shared" si="0"/>
        <v>-8.5239890399890891E-4</v>
      </c>
      <c r="F48" s="8">
        <v>-6059</v>
      </c>
      <c r="G48" s="14">
        <f t="shared" si="0"/>
        <v>-6.9059734447711333E-4</v>
      </c>
      <c r="H48" s="8">
        <v>-16926</v>
      </c>
      <c r="I48" s="14">
        <f t="shared" ref="I48" si="35">IFERROR(H48/H$16,"Missing")</f>
        <v>-2.5367499775565219E-3</v>
      </c>
      <c r="J48" s="8">
        <v>-29222</v>
      </c>
      <c r="K48" s="14">
        <f t="shared" si="2"/>
        <v>-5.0701962441127204E-3</v>
      </c>
    </row>
    <row r="49" spans="1:11" x14ac:dyDescent="0.15">
      <c r="A49" s="7" t="s">
        <v>259</v>
      </c>
      <c r="B49" s="8">
        <v>-308000</v>
      </c>
      <c r="C49" s="14">
        <f t="shared" si="3"/>
        <v>-2.7443642519825357E-2</v>
      </c>
      <c r="D49" s="8">
        <v>-103308</v>
      </c>
      <c r="E49" s="14">
        <f t="shared" si="0"/>
        <v>-1.0269344136946855E-2</v>
      </c>
      <c r="F49" s="8">
        <v>-14088</v>
      </c>
      <c r="G49" s="14">
        <f t="shared" si="0"/>
        <v>-1.6057328583914132E-3</v>
      </c>
      <c r="H49" s="8">
        <v>-21635</v>
      </c>
      <c r="I49" s="14">
        <f t="shared" ref="I49" si="36">IFERROR(H49/H$16,"Missing")</f>
        <v>-3.2425018175845062E-3</v>
      </c>
      <c r="J49" s="8">
        <v>-79031</v>
      </c>
      <c r="K49" s="14">
        <f t="shared" si="2"/>
        <v>-1.3712363266322372E-2</v>
      </c>
    </row>
    <row r="50" spans="1:11" x14ac:dyDescent="0.15">
      <c r="A50" s="7" t="s">
        <v>260</v>
      </c>
      <c r="B50" s="8">
        <v>87000</v>
      </c>
      <c r="C50" s="14">
        <f t="shared" si="3"/>
        <v>7.7519379844961239E-3</v>
      </c>
      <c r="D50" s="8">
        <v>45405</v>
      </c>
      <c r="E50" s="14">
        <f t="shared" si="0"/>
        <v>4.5134894735942227E-3</v>
      </c>
      <c r="F50" s="8">
        <v>15315</v>
      </c>
      <c r="G50" s="14">
        <f t="shared" si="0"/>
        <v>1.7455848045332546E-3</v>
      </c>
      <c r="H50" s="8">
        <v>203214</v>
      </c>
      <c r="I50" s="14">
        <f t="shared" ref="I50" si="37">IFERROR(H50/H$16,"Missing")</f>
        <v>3.0456286774144574E-2</v>
      </c>
      <c r="J50" s="8">
        <v>91691</v>
      </c>
      <c r="K50" s="14">
        <f t="shared" si="2"/>
        <v>1.590895092118744E-2</v>
      </c>
    </row>
    <row r="51" spans="1:11" x14ac:dyDescent="0.15">
      <c r="A51" s="7" t="s">
        <v>329</v>
      </c>
      <c r="B51" s="9" t="s">
        <v>6</v>
      </c>
      <c r="C51" s="14" t="str">
        <f t="shared" si="3"/>
        <v>Missing</v>
      </c>
      <c r="D51" s="9" t="s">
        <v>6</v>
      </c>
      <c r="E51" s="14" t="str">
        <f t="shared" si="0"/>
        <v>Missing</v>
      </c>
      <c r="F51" s="9" t="s">
        <v>6</v>
      </c>
      <c r="G51" s="14" t="str">
        <f t="shared" si="0"/>
        <v>Missing</v>
      </c>
      <c r="H51" s="9" t="s">
        <v>6</v>
      </c>
      <c r="I51" s="14" t="str">
        <f t="shared" ref="I51" si="38">IFERROR(H51/H$16,"Missing")</f>
        <v>Missing</v>
      </c>
      <c r="J51" s="8">
        <v>372950</v>
      </c>
      <c r="K51" s="14">
        <f t="shared" si="2"/>
        <v>6.470911262890422E-2</v>
      </c>
    </row>
    <row r="52" spans="1:11" x14ac:dyDescent="0.15">
      <c r="A52" s="7" t="s">
        <v>261</v>
      </c>
      <c r="B52" s="8">
        <v>398000</v>
      </c>
      <c r="C52" s="14">
        <f t="shared" si="3"/>
        <v>3.546288871068342E-2</v>
      </c>
      <c r="D52" s="8">
        <v>371359</v>
      </c>
      <c r="E52" s="14">
        <f t="shared" si="0"/>
        <v>3.6914985958032748E-2</v>
      </c>
      <c r="F52" s="8">
        <v>261285</v>
      </c>
      <c r="G52" s="14">
        <f t="shared" si="0"/>
        <v>2.9780941929642275E-2</v>
      </c>
      <c r="H52" s="8">
        <v>722748</v>
      </c>
      <c r="I52" s="14">
        <f t="shared" ref="I52" si="39">IFERROR(H52/H$16,"Missing")</f>
        <v>0.10832039305086974</v>
      </c>
      <c r="J52" s="8">
        <v>372950</v>
      </c>
      <c r="K52" s="14">
        <f t="shared" si="2"/>
        <v>6.470911262890422E-2</v>
      </c>
    </row>
    <row r="53" spans="1:11" x14ac:dyDescent="0.15">
      <c r="A53" s="7" t="s">
        <v>262</v>
      </c>
      <c r="B53" s="8">
        <v>8000</v>
      </c>
      <c r="C53" s="14">
        <f t="shared" si="3"/>
        <v>7.1282188363182752E-4</v>
      </c>
      <c r="D53" s="8">
        <v>6605</v>
      </c>
      <c r="E53" s="14">
        <f t="shared" si="0"/>
        <v>6.5657081759915958E-4</v>
      </c>
      <c r="F53" s="8">
        <v>20563</v>
      </c>
      <c r="G53" s="14">
        <f t="shared" si="0"/>
        <v>2.3437453696126226E-3</v>
      </c>
      <c r="H53" s="8">
        <v>41717</v>
      </c>
      <c r="I53" s="14">
        <f t="shared" ref="I53" si="40">IFERROR(H53/H$16,"Missing")</f>
        <v>6.2522509047456829E-3</v>
      </c>
      <c r="J53" s="8">
        <v>25147</v>
      </c>
      <c r="K53" s="14">
        <f t="shared" si="2"/>
        <v>4.3631587485696592E-3</v>
      </c>
    </row>
    <row r="54" spans="1:11" x14ac:dyDescent="0.15">
      <c r="A54" s="7" t="s">
        <v>263</v>
      </c>
      <c r="B54" s="8">
        <v>406000</v>
      </c>
      <c r="C54" s="14">
        <f t="shared" si="3"/>
        <v>3.6175710594315243E-2</v>
      </c>
      <c r="D54" s="8">
        <v>377964</v>
      </c>
      <c r="E54" s="14">
        <f t="shared" si="0"/>
        <v>3.7571556775631912E-2</v>
      </c>
      <c r="F54" s="8">
        <v>281848</v>
      </c>
      <c r="G54" s="14">
        <f t="shared" si="0"/>
        <v>3.2124687299254898E-2</v>
      </c>
      <c r="H54" s="8">
        <v>764465</v>
      </c>
      <c r="I54" s="14">
        <f t="shared" ref="I54" si="41">IFERROR(H54/H$16,"Missing")</f>
        <v>0.11457264395561542</v>
      </c>
      <c r="J54" s="8">
        <v>398097</v>
      </c>
      <c r="K54" s="14">
        <f t="shared" si="2"/>
        <v>6.9072271377473876E-2</v>
      </c>
    </row>
    <row r="55" spans="1:11" x14ac:dyDescent="0.15">
      <c r="A55" s="7" t="s">
        <v>264</v>
      </c>
      <c r="B55" s="8">
        <v>149961</v>
      </c>
      <c r="C55" s="14">
        <f t="shared" si="3"/>
        <v>1.336193531141406E-2</v>
      </c>
      <c r="D55" s="8">
        <v>151619</v>
      </c>
      <c r="E55" s="14">
        <f t="shared" si="0"/>
        <v>1.5071704889260708E-2</v>
      </c>
      <c r="F55" s="8">
        <v>150367</v>
      </c>
      <c r="G55" s="14">
        <f t="shared" si="0"/>
        <v>1.7138645138965191E-2</v>
      </c>
      <c r="H55" s="8">
        <v>130159</v>
      </c>
      <c r="I55" s="14">
        <f t="shared" ref="I55" si="42">IFERROR(H55/H$16,"Missing")</f>
        <v>1.9507316573837842E-2</v>
      </c>
      <c r="J55" s="8">
        <v>128912</v>
      </c>
      <c r="K55" s="14">
        <f t="shared" si="2"/>
        <v>2.236702273017107E-2</v>
      </c>
    </row>
    <row r="56" spans="1:11" x14ac:dyDescent="0.15">
      <c r="A56" s="7" t="s">
        <v>265</v>
      </c>
      <c r="B56" s="8">
        <v>152889</v>
      </c>
      <c r="C56" s="14">
        <f t="shared" si="3"/>
        <v>1.362282812082331E-2</v>
      </c>
      <c r="D56" s="8">
        <v>156385</v>
      </c>
      <c r="E56" s="14">
        <f t="shared" si="0"/>
        <v>1.5545469691180102E-2</v>
      </c>
      <c r="F56" s="8">
        <v>154517</v>
      </c>
      <c r="G56" s="14">
        <f t="shared" si="0"/>
        <v>1.7611657018744037E-2</v>
      </c>
      <c r="H56" s="8">
        <v>134018</v>
      </c>
      <c r="I56" s="14">
        <f t="shared" ref="I56" si="43">IFERROR(H56/H$16,"Missing")</f>
        <v>2.0085676384979909E-2</v>
      </c>
      <c r="J56" s="8">
        <v>133168</v>
      </c>
      <c r="K56" s="14">
        <f t="shared" si="2"/>
        <v>2.3105464835945614E-2</v>
      </c>
    </row>
    <row r="57" spans="1:11" x14ac:dyDescent="0.15">
      <c r="A57" s="7" t="s">
        <v>266</v>
      </c>
      <c r="B57" s="8">
        <v>147134</v>
      </c>
      <c r="C57" s="14">
        <f t="shared" si="3"/>
        <v>1.3110041878285664E-2</v>
      </c>
      <c r="D57" s="8">
        <v>151739</v>
      </c>
      <c r="E57" s="14">
        <f t="shared" si="0"/>
        <v>1.5083633503660692E-2</v>
      </c>
      <c r="F57" s="8">
        <v>150032</v>
      </c>
      <c r="G57" s="14">
        <f t="shared" si="0"/>
        <v>1.7100462252284249E-2</v>
      </c>
      <c r="H57" s="8">
        <v>150259</v>
      </c>
      <c r="I57" s="14">
        <f t="shared" ref="I57" si="44">IFERROR(H57/H$16,"Missing")</f>
        <v>2.2519763374551898E-2</v>
      </c>
      <c r="J57" s="8">
        <v>127067</v>
      </c>
      <c r="K57" s="14">
        <f t="shared" si="2"/>
        <v>2.2046903913170591E-2</v>
      </c>
    </row>
    <row r="58" spans="1:11" x14ac:dyDescent="0.15">
      <c r="A58" s="7" t="s">
        <v>330</v>
      </c>
      <c r="B58" s="9" t="s">
        <v>6</v>
      </c>
      <c r="C58" s="14" t="str">
        <f t="shared" si="3"/>
        <v>Missing</v>
      </c>
      <c r="D58" s="9" t="s">
        <v>6</v>
      </c>
      <c r="E58" s="14" t="str">
        <f t="shared" si="0"/>
        <v>Missing</v>
      </c>
      <c r="F58" s="9" t="s">
        <v>6</v>
      </c>
      <c r="G58" s="14" t="str">
        <f t="shared" si="0"/>
        <v>Missing</v>
      </c>
      <c r="H58" s="9" t="s">
        <v>6</v>
      </c>
      <c r="I58" s="14" t="str">
        <f t="shared" ref="I58" si="45">IFERROR(H58/H$16,"Missing")</f>
        <v>Missing</v>
      </c>
      <c r="J58" s="10">
        <v>3.09</v>
      </c>
      <c r="K58" s="14">
        <f t="shared" si="2"/>
        <v>5.3613395367559725E-7</v>
      </c>
    </row>
    <row r="59" spans="1:11" x14ac:dyDescent="0.15">
      <c r="A59" s="7" t="s">
        <v>267</v>
      </c>
      <c r="B59" s="10">
        <v>2.71</v>
      </c>
      <c r="C59" s="14">
        <f t="shared" si="3"/>
        <v>2.4146841308028154E-7</v>
      </c>
      <c r="D59" s="10">
        <v>2.4900000000000002</v>
      </c>
      <c r="E59" s="14">
        <f t="shared" si="0"/>
        <v>2.4751874879968322E-7</v>
      </c>
      <c r="F59" s="10">
        <v>1.87</v>
      </c>
      <c r="G59" s="14">
        <f t="shared" si="0"/>
        <v>2.1314029281600956E-7</v>
      </c>
      <c r="H59" s="10">
        <v>5.87</v>
      </c>
      <c r="I59" s="14">
        <f t="shared" ref="I59" si="46">IFERROR(H59/H$16,"Missing")</f>
        <v>8.7975436418863199E-7</v>
      </c>
      <c r="J59" s="10">
        <v>3.09</v>
      </c>
      <c r="K59" s="14">
        <f t="shared" si="2"/>
        <v>5.3613395367559725E-7</v>
      </c>
    </row>
    <row r="60" spans="1:11" x14ac:dyDescent="0.15">
      <c r="A60" s="7" t="s">
        <v>331</v>
      </c>
      <c r="B60" s="9" t="s">
        <v>6</v>
      </c>
      <c r="C60" s="14" t="str">
        <f t="shared" si="3"/>
        <v>Missing</v>
      </c>
      <c r="D60" s="9" t="s">
        <v>6</v>
      </c>
      <c r="E60" s="14" t="str">
        <f t="shared" si="0"/>
        <v>Missing</v>
      </c>
      <c r="F60" s="9" t="s">
        <v>6</v>
      </c>
      <c r="G60" s="14" t="str">
        <f t="shared" si="0"/>
        <v>Missing</v>
      </c>
      <c r="H60" s="9" t="s">
        <v>6</v>
      </c>
      <c r="I60" s="14" t="str">
        <f t="shared" ref="I60" si="47">IFERROR(H60/H$16,"Missing")</f>
        <v>Missing</v>
      </c>
      <c r="J60" s="10">
        <v>2.99</v>
      </c>
      <c r="K60" s="14">
        <f t="shared" si="2"/>
        <v>5.1878334028803761E-7</v>
      </c>
    </row>
    <row r="61" spans="1:11" x14ac:dyDescent="0.15">
      <c r="A61" s="7" t="s">
        <v>268</v>
      </c>
      <c r="B61" s="10">
        <v>2.65</v>
      </c>
      <c r="C61" s="14">
        <f t="shared" si="3"/>
        <v>2.3612224895304285E-7</v>
      </c>
      <c r="D61" s="10">
        <v>2.42</v>
      </c>
      <c r="E61" s="14">
        <f t="shared" si="0"/>
        <v>2.405603903996921E-7</v>
      </c>
      <c r="F61" s="10">
        <v>1.82</v>
      </c>
      <c r="G61" s="14">
        <f t="shared" si="0"/>
        <v>2.0744135450542106E-7</v>
      </c>
      <c r="H61" s="11">
        <v>5.7</v>
      </c>
      <c r="I61" s="14">
        <f t="shared" ref="I61" si="48">IFERROR(H61/H$16,"Missing")</f>
        <v>8.5427595841144842E-7</v>
      </c>
      <c r="J61" s="10">
        <v>2.99</v>
      </c>
      <c r="K61" s="14">
        <f t="shared" si="2"/>
        <v>5.1878334028803761E-7</v>
      </c>
    </row>
    <row r="62" spans="1:11" x14ac:dyDescent="0.15">
      <c r="A62" s="7" t="s">
        <v>269</v>
      </c>
      <c r="B62" s="10">
        <v>1.24</v>
      </c>
      <c r="C62" s="14">
        <f t="shared" si="3"/>
        <v>1.1048739196293326E-7</v>
      </c>
      <c r="D62" s="9" t="s">
        <v>6</v>
      </c>
      <c r="E62" s="14" t="str">
        <f t="shared" si="0"/>
        <v>Missing</v>
      </c>
      <c r="F62" s="9" t="s">
        <v>6</v>
      </c>
      <c r="G62" s="14" t="str">
        <f t="shared" si="0"/>
        <v>Missing</v>
      </c>
      <c r="H62" s="9" t="s">
        <v>6</v>
      </c>
      <c r="I62" s="14" t="str">
        <f t="shared" ref="I62" si="49">IFERROR(H62/H$16,"Missing")</f>
        <v>Missing</v>
      </c>
      <c r="J62" s="10">
        <v>0.66</v>
      </c>
      <c r="K62" s="14">
        <f t="shared" si="2"/>
        <v>1.1451404835789457E-7</v>
      </c>
    </row>
    <row r="63" spans="1:11" x14ac:dyDescent="0.15">
      <c r="A63" s="7" t="s">
        <v>270</v>
      </c>
      <c r="B63" s="8">
        <v>24500</v>
      </c>
      <c r="C63" s="14">
        <f t="shared" si="3"/>
        <v>2.1830170186224718E-3</v>
      </c>
      <c r="D63" s="8">
        <v>22615</v>
      </c>
      <c r="E63" s="14">
        <f t="shared" si="0"/>
        <v>2.2480467887971223E-3</v>
      </c>
      <c r="F63" s="8">
        <v>20075</v>
      </c>
      <c r="G63" s="14">
        <f t="shared" si="0"/>
        <v>2.288123731701279E-3</v>
      </c>
      <c r="H63" s="8">
        <v>18730</v>
      </c>
      <c r="I63" s="14">
        <f t="shared" ref="I63" si="50">IFERROR(H63/H$16,"Missing")</f>
        <v>2.8071208247449873E-3</v>
      </c>
      <c r="J63" s="8">
        <v>18210</v>
      </c>
      <c r="K63" s="14">
        <f t="shared" si="2"/>
        <v>3.1595466978746366E-3</v>
      </c>
    </row>
    <row r="64" spans="1:11" x14ac:dyDescent="0.15">
      <c r="A64" s="7" t="s">
        <v>271</v>
      </c>
      <c r="B64" s="8">
        <v>2014</v>
      </c>
      <c r="C64" s="14">
        <f t="shared" si="3"/>
        <v>1.7945290920431256E-4</v>
      </c>
      <c r="D64" s="8">
        <v>2110</v>
      </c>
      <c r="E64" s="14">
        <f t="shared" si="0"/>
        <v>2.0974480319973151E-4</v>
      </c>
      <c r="F64" s="8">
        <v>2360</v>
      </c>
      <c r="G64" s="14">
        <f t="shared" si="0"/>
        <v>2.6898988825977674E-4</v>
      </c>
      <c r="H64" s="8">
        <v>2650</v>
      </c>
      <c r="I64" s="14">
        <f t="shared" ref="I64" si="51">IFERROR(H64/H$16,"Missing")</f>
        <v>3.9716338417374356E-4</v>
      </c>
      <c r="J64" s="8">
        <v>2810</v>
      </c>
      <c r="K64" s="14">
        <f t="shared" si="2"/>
        <v>4.8755223619042994E-4</v>
      </c>
    </row>
    <row r="65" spans="1:11" x14ac:dyDescent="0.15">
      <c r="A65" s="7" t="s">
        <v>272</v>
      </c>
      <c r="B65" s="8">
        <v>1</v>
      </c>
      <c r="C65" s="14">
        <f t="shared" si="3"/>
        <v>8.9102735453978431E-8</v>
      </c>
      <c r="D65" s="8">
        <v>1</v>
      </c>
      <c r="E65" s="14">
        <f t="shared" si="0"/>
        <v>9.9405119999872767E-8</v>
      </c>
      <c r="F65" s="8">
        <v>1</v>
      </c>
      <c r="G65" s="14">
        <f t="shared" si="0"/>
        <v>1.1397876621176981E-7</v>
      </c>
      <c r="H65" s="8">
        <v>1</v>
      </c>
      <c r="I65" s="14">
        <f t="shared" ref="I65" si="52">IFERROR(H65/H$16,"Missing")</f>
        <v>1.4987297515990322E-7</v>
      </c>
      <c r="J65" s="8">
        <v>1</v>
      </c>
      <c r="K65" s="14">
        <f t="shared" si="2"/>
        <v>1.7350613387559783E-7</v>
      </c>
    </row>
    <row r="66" spans="1:11" x14ac:dyDescent="0.15">
      <c r="A66" s="7" t="s">
        <v>273</v>
      </c>
      <c r="B66" s="8">
        <v>-86000</v>
      </c>
      <c r="C66" s="14">
        <f t="shared" si="3"/>
        <v>-7.6628352490421452E-3</v>
      </c>
      <c r="D66" s="8">
        <v>189580</v>
      </c>
      <c r="E66" s="14">
        <f t="shared" si="0"/>
        <v>1.8845222649575877E-2</v>
      </c>
      <c r="F66" s="8">
        <v>-10217</v>
      </c>
      <c r="G66" s="14">
        <f t="shared" si="0"/>
        <v>-1.1645210543856522E-3</v>
      </c>
      <c r="H66" s="8">
        <v>-147815</v>
      </c>
      <c r="I66" s="14">
        <f t="shared" ref="I66" si="53">IFERROR(H66/H$16,"Missing")</f>
        <v>-2.2153473823261095E-2</v>
      </c>
      <c r="J66" s="9" t="s">
        <v>6</v>
      </c>
      <c r="K66" s="14" t="str">
        <f t="shared" si="2"/>
        <v>Missing</v>
      </c>
    </row>
  </sheetData>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4:AJ68"/>
  <sheetViews>
    <sheetView workbookViewId="0">
      <selection activeCell="B43" sqref="B43"/>
    </sheetView>
  </sheetViews>
  <sheetFormatPr baseColWidth="10" defaultColWidth="8.83203125" defaultRowHeight="13" x14ac:dyDescent="0.15"/>
  <cols>
    <col min="1" max="1" width="30" customWidth="1"/>
  </cols>
  <sheetData>
    <row r="4" spans="1:2" x14ac:dyDescent="0.15">
      <c r="A4" s="16" t="s">
        <v>168</v>
      </c>
    </row>
    <row r="5" spans="1:2" ht="20" x14ac:dyDescent="0.2">
      <c r="A5" s="17" t="s">
        <v>169</v>
      </c>
    </row>
    <row r="8" spans="1:2" ht="18" x14ac:dyDescent="0.2">
      <c r="A8" s="18" t="s">
        <v>332</v>
      </c>
    </row>
    <row r="9" spans="1:2" x14ac:dyDescent="0.15">
      <c r="A9" s="19" t="s">
        <v>333</v>
      </c>
      <c r="B9" s="19" t="s">
        <v>334</v>
      </c>
    </row>
    <row r="10" spans="1:2" x14ac:dyDescent="0.15">
      <c r="A10" s="7" t="s">
        <v>335</v>
      </c>
      <c r="B10" s="7" t="s">
        <v>336</v>
      </c>
    </row>
    <row r="11" spans="1:2" x14ac:dyDescent="0.15">
      <c r="A11" s="7"/>
    </row>
    <row r="12" spans="1:2" x14ac:dyDescent="0.15">
      <c r="A12" s="19" t="s">
        <v>337</v>
      </c>
      <c r="B12" s="19" t="s">
        <v>338</v>
      </c>
    </row>
    <row r="13" spans="1:2" x14ac:dyDescent="0.15">
      <c r="A13" s="7" t="s">
        <v>339</v>
      </c>
      <c r="B13" s="7" t="s">
        <v>340</v>
      </c>
    </row>
    <row r="14" spans="1:2" x14ac:dyDescent="0.15">
      <c r="A14" s="7"/>
    </row>
    <row r="15" spans="1:2" x14ac:dyDescent="0.15">
      <c r="A15" s="19" t="s">
        <v>341</v>
      </c>
      <c r="B15" s="19" t="s">
        <v>342</v>
      </c>
    </row>
    <row r="16" spans="1:2" x14ac:dyDescent="0.15">
      <c r="A16" s="7" t="s">
        <v>343</v>
      </c>
      <c r="B16" s="7" t="s">
        <v>344</v>
      </c>
    </row>
    <row r="17" spans="1:2" x14ac:dyDescent="0.15">
      <c r="A17" s="7"/>
    </row>
    <row r="18" spans="1:2" x14ac:dyDescent="0.15">
      <c r="A18" s="19" t="s">
        <v>345</v>
      </c>
      <c r="B18" s="19" t="s">
        <v>346</v>
      </c>
    </row>
    <row r="19" spans="1:2" x14ac:dyDescent="0.15">
      <c r="A19" s="7" t="s">
        <v>347</v>
      </c>
      <c r="B19" s="7" t="s">
        <v>348</v>
      </c>
    </row>
    <row r="20" spans="1:2" x14ac:dyDescent="0.15">
      <c r="A20" s="7"/>
    </row>
    <row r="21" spans="1:2" x14ac:dyDescent="0.15">
      <c r="A21" s="19" t="s">
        <v>349</v>
      </c>
      <c r="B21" s="19" t="s">
        <v>350</v>
      </c>
    </row>
    <row r="22" spans="1:2" x14ac:dyDescent="0.15">
      <c r="A22" s="7" t="s">
        <v>351</v>
      </c>
      <c r="B22" s="7" t="s">
        <v>352</v>
      </c>
    </row>
    <row r="23" spans="1:2" x14ac:dyDescent="0.15">
      <c r="A23" s="7"/>
    </row>
    <row r="24" spans="1:2" x14ac:dyDescent="0.15">
      <c r="A24" s="19" t="s">
        <v>353</v>
      </c>
      <c r="B24" s="19" t="s">
        <v>354</v>
      </c>
    </row>
    <row r="25" spans="1:2" x14ac:dyDescent="0.15">
      <c r="A25" s="7" t="s">
        <v>355</v>
      </c>
      <c r="B25" s="7" t="s">
        <v>356</v>
      </c>
    </row>
    <row r="26" spans="1:2" x14ac:dyDescent="0.15">
      <c r="A26" s="7"/>
    </row>
    <row r="27" spans="1:2" x14ac:dyDescent="0.15">
      <c r="A27" s="19" t="s">
        <v>357</v>
      </c>
      <c r="B27" s="7"/>
    </row>
    <row r="28" spans="1:2" x14ac:dyDescent="0.15">
      <c r="A28" s="7" t="s">
        <v>358</v>
      </c>
      <c r="B28" s="7"/>
    </row>
    <row r="29" spans="1:2" x14ac:dyDescent="0.15">
      <c r="A29" s="7"/>
    </row>
    <row r="31" spans="1:2" ht="18" x14ac:dyDescent="0.2">
      <c r="A31" s="18" t="s">
        <v>359</v>
      </c>
    </row>
    <row r="32" spans="1:2" ht="112" x14ac:dyDescent="0.15">
      <c r="A32" s="3" t="s">
        <v>360</v>
      </c>
    </row>
    <row r="33" spans="1:36" ht="112" x14ac:dyDescent="0.15">
      <c r="A33" s="3" t="s">
        <v>361</v>
      </c>
    </row>
    <row r="34" spans="1:36" ht="98" x14ac:dyDescent="0.15">
      <c r="A34" s="3" t="s">
        <v>362</v>
      </c>
    </row>
    <row r="36" spans="1:36" ht="28" x14ac:dyDescent="0.15">
      <c r="A36" s="20" t="s">
        <v>363</v>
      </c>
    </row>
    <row r="38" spans="1:36" x14ac:dyDescent="0.15">
      <c r="A38" s="19" t="s">
        <v>364</v>
      </c>
    </row>
    <row r="39" spans="1:36" x14ac:dyDescent="0.15">
      <c r="A39" s="19" t="s">
        <v>365</v>
      </c>
      <c r="B39" s="19" t="s">
        <v>366</v>
      </c>
    </row>
    <row r="40" spans="1:36" x14ac:dyDescent="0.15">
      <c r="A40" s="19" t="s">
        <v>367</v>
      </c>
      <c r="B40" s="19" t="s">
        <v>368</v>
      </c>
    </row>
    <row r="42" spans="1:36" ht="56" x14ac:dyDescent="0.15">
      <c r="A42" s="19" t="s">
        <v>369</v>
      </c>
      <c r="B42" s="21" t="s">
        <v>370</v>
      </c>
      <c r="C42" s="21" t="s">
        <v>371</v>
      </c>
      <c r="D42" s="21" t="s">
        <v>372</v>
      </c>
      <c r="E42" s="21" t="s">
        <v>373</v>
      </c>
      <c r="F42" s="21" t="s">
        <v>374</v>
      </c>
      <c r="G42" s="21" t="s">
        <v>375</v>
      </c>
      <c r="H42" s="21" t="s">
        <v>376</v>
      </c>
      <c r="I42" s="21" t="s">
        <v>377</v>
      </c>
      <c r="J42" s="21" t="s">
        <v>378</v>
      </c>
      <c r="K42" s="21" t="s">
        <v>379</v>
      </c>
      <c r="L42" s="21" t="s">
        <v>380</v>
      </c>
      <c r="M42" s="21" t="s">
        <v>381</v>
      </c>
      <c r="N42" s="21" t="s">
        <v>382</v>
      </c>
      <c r="O42" s="21" t="s">
        <v>383</v>
      </c>
      <c r="P42" s="21" t="s">
        <v>384</v>
      </c>
      <c r="Q42" s="21" t="s">
        <v>385</v>
      </c>
      <c r="R42" s="21" t="s">
        <v>386</v>
      </c>
      <c r="S42" s="21" t="s">
        <v>387</v>
      </c>
      <c r="T42" s="21" t="s">
        <v>388</v>
      </c>
      <c r="U42" s="21" t="s">
        <v>389</v>
      </c>
      <c r="V42" s="21" t="s">
        <v>390</v>
      </c>
      <c r="W42" s="21" t="s">
        <v>391</v>
      </c>
      <c r="X42" s="21" t="s">
        <v>392</v>
      </c>
      <c r="Y42" s="21" t="s">
        <v>393</v>
      </c>
      <c r="Z42" s="21" t="s">
        <v>394</v>
      </c>
      <c r="AA42" s="21" t="s">
        <v>395</v>
      </c>
      <c r="AB42" s="21" t="s">
        <v>396</v>
      </c>
      <c r="AC42" s="21" t="s">
        <v>397</v>
      </c>
      <c r="AD42" s="21" t="s">
        <v>398</v>
      </c>
      <c r="AE42" s="21" t="s">
        <v>399</v>
      </c>
      <c r="AF42" s="21" t="s">
        <v>400</v>
      </c>
      <c r="AG42" s="21" t="s">
        <v>401</v>
      </c>
      <c r="AH42" s="21" t="s">
        <v>402</v>
      </c>
      <c r="AI42" s="21" t="s">
        <v>403</v>
      </c>
      <c r="AJ42" s="21" t="s">
        <v>404</v>
      </c>
    </row>
    <row r="43" spans="1:36" ht="28" x14ac:dyDescent="0.15">
      <c r="B43" s="21" t="s">
        <v>405</v>
      </c>
      <c r="C43" s="21" t="s">
        <v>406</v>
      </c>
      <c r="D43" s="21" t="s">
        <v>407</v>
      </c>
      <c r="E43" s="21" t="s">
        <v>408</v>
      </c>
      <c r="F43" s="21" t="s">
        <v>409</v>
      </c>
      <c r="G43" s="21" t="s">
        <v>410</v>
      </c>
      <c r="H43" s="21" t="s">
        <v>411</v>
      </c>
      <c r="I43" s="21" t="s">
        <v>412</v>
      </c>
      <c r="J43" s="21" t="s">
        <v>413</v>
      </c>
      <c r="K43" s="21" t="s">
        <v>414</v>
      </c>
      <c r="L43" s="21" t="s">
        <v>415</v>
      </c>
      <c r="M43" s="21" t="s">
        <v>416</v>
      </c>
      <c r="N43" s="21" t="s">
        <v>417</v>
      </c>
      <c r="O43" s="21" t="s">
        <v>418</v>
      </c>
      <c r="P43" s="21" t="s">
        <v>419</v>
      </c>
      <c r="Q43" s="21" t="s">
        <v>420</v>
      </c>
      <c r="R43" s="21" t="s">
        <v>421</v>
      </c>
      <c r="S43" s="21" t="s">
        <v>422</v>
      </c>
      <c r="T43" s="21" t="s">
        <v>423</v>
      </c>
      <c r="U43" s="21" t="s">
        <v>424</v>
      </c>
      <c r="V43" s="21" t="s">
        <v>425</v>
      </c>
      <c r="W43" s="21" t="s">
        <v>426</v>
      </c>
      <c r="X43" s="21" t="s">
        <v>427</v>
      </c>
      <c r="Y43" s="21" t="s">
        <v>428</v>
      </c>
      <c r="Z43" s="21" t="s">
        <v>429</v>
      </c>
      <c r="AA43" s="21" t="s">
        <v>430</v>
      </c>
      <c r="AB43" s="21" t="s">
        <v>431</v>
      </c>
      <c r="AC43" s="21" t="s">
        <v>432</v>
      </c>
      <c r="AD43" s="21" t="s">
        <v>433</v>
      </c>
      <c r="AE43" s="21" t="s">
        <v>434</v>
      </c>
      <c r="AF43" s="21" t="s">
        <v>435</v>
      </c>
      <c r="AG43" s="21" t="s">
        <v>436</v>
      </c>
      <c r="AH43" s="21" t="s">
        <v>437</v>
      </c>
      <c r="AI43" s="21" t="s">
        <v>438</v>
      </c>
      <c r="AJ43" s="21" t="s">
        <v>439</v>
      </c>
    </row>
    <row r="44" spans="1:36" x14ac:dyDescent="0.15">
      <c r="A44" s="7" t="s">
        <v>440</v>
      </c>
      <c r="B44" s="10">
        <v>0.4</v>
      </c>
      <c r="C44" s="10">
        <v>0.28999999999999998</v>
      </c>
      <c r="D44" s="10">
        <v>0.41</v>
      </c>
      <c r="E44" s="10">
        <v>0.31</v>
      </c>
      <c r="F44" s="10">
        <v>0.51</v>
      </c>
      <c r="G44" s="10">
        <v>59.63</v>
      </c>
      <c r="H44" s="10">
        <v>55.05</v>
      </c>
      <c r="I44" s="10">
        <v>63.03</v>
      </c>
      <c r="J44" s="10">
        <v>49.74</v>
      </c>
      <c r="K44" s="9" t="s">
        <v>6</v>
      </c>
      <c r="L44" s="10">
        <v>0.96</v>
      </c>
      <c r="M44" s="10">
        <v>0.84</v>
      </c>
      <c r="N44" s="10">
        <v>0.94</v>
      </c>
      <c r="O44" s="10">
        <v>0.88</v>
      </c>
      <c r="P44" s="10">
        <v>0.91</v>
      </c>
      <c r="Q44" s="10">
        <v>0.31</v>
      </c>
      <c r="R44" s="10">
        <v>0.32</v>
      </c>
      <c r="S44" s="10">
        <v>0.32</v>
      </c>
      <c r="T44" s="10">
        <v>0.21</v>
      </c>
      <c r="U44" s="10">
        <v>0.11</v>
      </c>
      <c r="V44" s="10">
        <v>-1.76</v>
      </c>
      <c r="W44" s="10">
        <v>-0.46</v>
      </c>
      <c r="X44" s="10">
        <v>-0.11</v>
      </c>
      <c r="Y44" s="10">
        <v>-1.19</v>
      </c>
      <c r="Z44" s="10">
        <v>-1.9</v>
      </c>
      <c r="AA44" s="10">
        <v>-3.01</v>
      </c>
      <c r="AB44" s="10">
        <v>-0.8</v>
      </c>
      <c r="AC44" s="10">
        <v>-0.18</v>
      </c>
      <c r="AD44" s="10">
        <v>-1.82</v>
      </c>
      <c r="AE44" s="10">
        <v>-2.7</v>
      </c>
      <c r="AF44" s="10">
        <v>-1.84</v>
      </c>
      <c r="AG44" s="10">
        <v>-0.55000000000000004</v>
      </c>
      <c r="AH44" s="10">
        <v>-0.11</v>
      </c>
      <c r="AI44" s="10">
        <v>-1.34</v>
      </c>
      <c r="AJ44" s="10">
        <v>-2.1</v>
      </c>
    </row>
    <row r="45" spans="1:36" x14ac:dyDescent="0.15">
      <c r="A45" s="7" t="s">
        <v>441</v>
      </c>
      <c r="B45" s="10">
        <v>2.2000000000000002</v>
      </c>
      <c r="C45" s="10">
        <v>2.46</v>
      </c>
      <c r="D45" s="10">
        <v>1.81</v>
      </c>
      <c r="E45" s="10">
        <v>2.29</v>
      </c>
      <c r="F45" s="10">
        <v>3.58</v>
      </c>
      <c r="G45" s="9" t="s">
        <v>6</v>
      </c>
      <c r="H45" s="9" t="s">
        <v>6</v>
      </c>
      <c r="I45" s="9" t="s">
        <v>6</v>
      </c>
      <c r="J45" s="9" t="s">
        <v>6</v>
      </c>
      <c r="K45" s="9" t="s">
        <v>6</v>
      </c>
      <c r="L45" s="10">
        <v>0.6</v>
      </c>
      <c r="M45" s="10">
        <v>0.56000000000000005</v>
      </c>
      <c r="N45" s="10">
        <v>0.57999999999999996</v>
      </c>
      <c r="O45" s="10">
        <v>0.56999999999999995</v>
      </c>
      <c r="P45" s="10">
        <v>0.67</v>
      </c>
      <c r="Q45" s="10">
        <v>0.98</v>
      </c>
      <c r="R45" s="10">
        <v>0.85</v>
      </c>
      <c r="S45" s="10">
        <v>0.73</v>
      </c>
      <c r="T45" s="10">
        <v>0.7</v>
      </c>
      <c r="U45" s="10">
        <v>0.45</v>
      </c>
      <c r="V45" s="10">
        <v>16.61</v>
      </c>
      <c r="W45" s="10">
        <v>10.34</v>
      </c>
      <c r="X45" s="10">
        <v>11.43</v>
      </c>
      <c r="Y45" s="10">
        <v>15.77</v>
      </c>
      <c r="Z45" s="10">
        <v>19.079999999999998</v>
      </c>
      <c r="AA45" s="10">
        <v>39.89</v>
      </c>
      <c r="AB45" s="10">
        <v>22.21</v>
      </c>
      <c r="AC45" s="10">
        <v>22.87</v>
      </c>
      <c r="AD45" s="10">
        <v>29.39</v>
      </c>
      <c r="AE45" s="10">
        <v>31.3</v>
      </c>
      <c r="AF45" s="10">
        <v>27.52</v>
      </c>
      <c r="AG45" s="10">
        <v>18.46</v>
      </c>
      <c r="AH45" s="10">
        <v>19.87</v>
      </c>
      <c r="AI45" s="10">
        <v>27.66</v>
      </c>
      <c r="AJ45" s="10">
        <v>28.69</v>
      </c>
    </row>
    <row r="46" spans="1:36" x14ac:dyDescent="0.15">
      <c r="A46" s="7" t="s">
        <v>442</v>
      </c>
      <c r="B46" s="10">
        <v>0.68</v>
      </c>
      <c r="C46" s="10">
        <v>0.69</v>
      </c>
      <c r="D46" s="10">
        <v>0.64</v>
      </c>
      <c r="E46" s="10">
        <v>0.55000000000000004</v>
      </c>
      <c r="F46" s="10">
        <v>0.51</v>
      </c>
      <c r="G46" s="10">
        <v>71.069999999999993</v>
      </c>
      <c r="H46" s="10">
        <v>68.2</v>
      </c>
      <c r="I46" s="10">
        <v>68.86</v>
      </c>
      <c r="J46" s="10">
        <v>77.77</v>
      </c>
      <c r="K46" s="10">
        <v>84.54</v>
      </c>
      <c r="L46" s="10">
        <v>0.5</v>
      </c>
      <c r="M46" s="10">
        <v>0.51</v>
      </c>
      <c r="N46" s="10">
        <v>0.48</v>
      </c>
      <c r="O46" s="10">
        <v>0.5</v>
      </c>
      <c r="P46" s="10">
        <v>0.53</v>
      </c>
      <c r="Q46" s="10">
        <v>3.47</v>
      </c>
      <c r="R46" s="10">
        <v>2.79</v>
      </c>
      <c r="S46" s="10">
        <v>3.46</v>
      </c>
      <c r="T46" s="10">
        <v>6.44</v>
      </c>
      <c r="U46" s="10">
        <v>7.9</v>
      </c>
      <c r="V46" s="10">
        <v>2.2000000000000002</v>
      </c>
      <c r="W46" s="10">
        <v>4.04</v>
      </c>
      <c r="X46" s="10">
        <v>9.24</v>
      </c>
      <c r="Y46" s="10">
        <v>1.07</v>
      </c>
      <c r="Z46" s="10">
        <v>-1.04</v>
      </c>
      <c r="AA46" s="10">
        <v>10.24</v>
      </c>
      <c r="AB46" s="10">
        <v>18.59</v>
      </c>
      <c r="AC46" s="10">
        <v>57.82</v>
      </c>
      <c r="AD46" s="10">
        <v>9.99</v>
      </c>
      <c r="AE46" s="10">
        <v>-11.68</v>
      </c>
      <c r="AF46" s="10">
        <v>4.38</v>
      </c>
      <c r="AG46" s="10">
        <v>7.94</v>
      </c>
      <c r="AH46" s="10">
        <v>19.14</v>
      </c>
      <c r="AI46" s="10">
        <v>2.15</v>
      </c>
      <c r="AJ46" s="10">
        <v>-1.96</v>
      </c>
    </row>
    <row r="47" spans="1:36" x14ac:dyDescent="0.15">
      <c r="A47" s="7" t="s">
        <v>443</v>
      </c>
      <c r="B47" s="9" t="s">
        <v>6</v>
      </c>
      <c r="C47" s="9" t="s">
        <v>6</v>
      </c>
      <c r="D47" s="9" t="s">
        <v>6</v>
      </c>
      <c r="E47" s="9" t="s">
        <v>6</v>
      </c>
      <c r="F47" s="9" t="s">
        <v>6</v>
      </c>
      <c r="G47" s="9" t="s">
        <v>6</v>
      </c>
      <c r="H47" s="9" t="s">
        <v>6</v>
      </c>
      <c r="I47" s="9" t="s">
        <v>6</v>
      </c>
      <c r="J47" s="9" t="s">
        <v>6</v>
      </c>
      <c r="K47" s="9" t="s">
        <v>6</v>
      </c>
      <c r="L47" s="9" t="s">
        <v>6</v>
      </c>
      <c r="M47" s="9" t="s">
        <v>6</v>
      </c>
      <c r="N47" s="9" t="s">
        <v>6</v>
      </c>
      <c r="O47" s="9" t="s">
        <v>6</v>
      </c>
      <c r="P47" s="9" t="s">
        <v>6</v>
      </c>
      <c r="Q47" s="9" t="s">
        <v>6</v>
      </c>
      <c r="R47" s="9" t="s">
        <v>6</v>
      </c>
      <c r="S47" s="9" t="s">
        <v>6</v>
      </c>
      <c r="T47" s="9" t="s">
        <v>6</v>
      </c>
      <c r="U47" s="9" t="s">
        <v>6</v>
      </c>
      <c r="V47" s="9" t="s">
        <v>6</v>
      </c>
      <c r="W47" s="9" t="s">
        <v>6</v>
      </c>
      <c r="X47" s="9" t="s">
        <v>6</v>
      </c>
      <c r="Y47" s="9" t="s">
        <v>6</v>
      </c>
      <c r="Z47" s="9" t="s">
        <v>6</v>
      </c>
      <c r="AA47" s="9" t="s">
        <v>6</v>
      </c>
      <c r="AB47" s="9" t="s">
        <v>6</v>
      </c>
      <c r="AC47" s="9" t="s">
        <v>6</v>
      </c>
      <c r="AD47" s="9" t="s">
        <v>6</v>
      </c>
      <c r="AE47" s="9" t="s">
        <v>6</v>
      </c>
      <c r="AF47" s="9" t="s">
        <v>6</v>
      </c>
      <c r="AG47" s="9" t="s">
        <v>6</v>
      </c>
      <c r="AH47" s="9" t="s">
        <v>6</v>
      </c>
      <c r="AI47" s="9" t="s">
        <v>6</v>
      </c>
      <c r="AJ47" s="9" t="s">
        <v>6</v>
      </c>
    </row>
    <row r="48" spans="1:36" x14ac:dyDescent="0.15">
      <c r="A48" s="7" t="s">
        <v>444</v>
      </c>
      <c r="B48" s="9" t="s">
        <v>6</v>
      </c>
      <c r="C48" s="9" t="s">
        <v>6</v>
      </c>
      <c r="D48" s="9" t="s">
        <v>6</v>
      </c>
      <c r="E48" s="9" t="s">
        <v>6</v>
      </c>
      <c r="F48" s="9" t="s">
        <v>6</v>
      </c>
      <c r="G48" s="9" t="s">
        <v>6</v>
      </c>
      <c r="H48" s="9" t="s">
        <v>6</v>
      </c>
      <c r="I48" s="9" t="s">
        <v>6</v>
      </c>
      <c r="J48" s="9" t="s">
        <v>6</v>
      </c>
      <c r="K48" s="9" t="s">
        <v>6</v>
      </c>
      <c r="L48" s="9" t="s">
        <v>6</v>
      </c>
      <c r="M48" s="9" t="s">
        <v>6</v>
      </c>
      <c r="N48" s="9" t="s">
        <v>6</v>
      </c>
      <c r="O48" s="9" t="s">
        <v>6</v>
      </c>
      <c r="P48" s="9" t="s">
        <v>6</v>
      </c>
      <c r="Q48" s="9" t="s">
        <v>6</v>
      </c>
      <c r="R48" s="9" t="s">
        <v>6</v>
      </c>
      <c r="S48" s="9" t="s">
        <v>6</v>
      </c>
      <c r="T48" s="9" t="s">
        <v>6</v>
      </c>
      <c r="U48" s="9" t="s">
        <v>6</v>
      </c>
      <c r="V48" s="9" t="s">
        <v>6</v>
      </c>
      <c r="W48" s="9" t="s">
        <v>6</v>
      </c>
      <c r="X48" s="9" t="s">
        <v>6</v>
      </c>
      <c r="Y48" s="9" t="s">
        <v>6</v>
      </c>
      <c r="Z48" s="9" t="s">
        <v>6</v>
      </c>
      <c r="AA48" s="9" t="s">
        <v>6</v>
      </c>
      <c r="AB48" s="9" t="s">
        <v>6</v>
      </c>
      <c r="AC48" s="9" t="s">
        <v>6</v>
      </c>
      <c r="AD48" s="9" t="s">
        <v>6</v>
      </c>
      <c r="AE48" s="9" t="s">
        <v>6</v>
      </c>
      <c r="AF48" s="9" t="s">
        <v>6</v>
      </c>
      <c r="AG48" s="9" t="s">
        <v>6</v>
      </c>
      <c r="AH48" s="9" t="s">
        <v>6</v>
      </c>
      <c r="AI48" s="9" t="s">
        <v>6</v>
      </c>
      <c r="AJ48" s="9" t="s">
        <v>6</v>
      </c>
    </row>
    <row r="49" spans="1:36" x14ac:dyDescent="0.15">
      <c r="A49" s="7" t="s">
        <v>445</v>
      </c>
      <c r="B49" s="10">
        <v>0.56999999999999995</v>
      </c>
      <c r="C49" s="10">
        <v>0.66</v>
      </c>
      <c r="D49" s="10">
        <v>0.52</v>
      </c>
      <c r="E49" s="10">
        <v>0.47</v>
      </c>
      <c r="F49" s="10">
        <v>0.61</v>
      </c>
      <c r="G49" s="9" t="s">
        <v>6</v>
      </c>
      <c r="H49" s="9" t="s">
        <v>6</v>
      </c>
      <c r="I49" s="9" t="s">
        <v>6</v>
      </c>
      <c r="J49" s="9" t="s">
        <v>6</v>
      </c>
      <c r="K49" s="9" t="s">
        <v>6</v>
      </c>
      <c r="L49" s="10">
        <v>0.61</v>
      </c>
      <c r="M49" s="10">
        <v>0.59</v>
      </c>
      <c r="N49" s="10">
        <v>0.56000000000000005</v>
      </c>
      <c r="O49" s="10">
        <v>0.54</v>
      </c>
      <c r="P49" s="10">
        <v>0.69</v>
      </c>
      <c r="Q49" s="10">
        <v>0.91</v>
      </c>
      <c r="R49" s="10">
        <v>0.94</v>
      </c>
      <c r="S49" s="10">
        <v>0.76</v>
      </c>
      <c r="T49" s="10">
        <v>0.66</v>
      </c>
      <c r="U49" s="10">
        <v>0.98</v>
      </c>
      <c r="V49" s="10">
        <v>2.2200000000000002</v>
      </c>
      <c r="W49" s="10">
        <v>2.2000000000000002</v>
      </c>
      <c r="X49" s="10">
        <v>1.8</v>
      </c>
      <c r="Y49" s="10">
        <v>6.23</v>
      </c>
      <c r="Z49" s="10">
        <v>4.75</v>
      </c>
      <c r="AA49" s="10">
        <v>9.41</v>
      </c>
      <c r="AB49" s="10">
        <v>8.73</v>
      </c>
      <c r="AC49" s="10">
        <v>6.25</v>
      </c>
      <c r="AD49" s="8">
        <v>23</v>
      </c>
      <c r="AE49" s="10">
        <v>20.260000000000002</v>
      </c>
      <c r="AF49" s="10">
        <v>3.62</v>
      </c>
      <c r="AG49" s="10">
        <v>3.76</v>
      </c>
      <c r="AH49" s="10">
        <v>3.21</v>
      </c>
      <c r="AI49" s="10">
        <v>11.46</v>
      </c>
      <c r="AJ49" s="10">
        <v>6.91</v>
      </c>
    </row>
    <row r="50" spans="1:36" x14ac:dyDescent="0.15">
      <c r="A50" s="7" t="s">
        <v>446</v>
      </c>
      <c r="B50" s="9" t="s">
        <v>6</v>
      </c>
      <c r="C50" s="9" t="s">
        <v>6</v>
      </c>
      <c r="D50" s="9" t="s">
        <v>6</v>
      </c>
      <c r="E50" s="9" t="s">
        <v>6</v>
      </c>
      <c r="F50" s="9" t="s">
        <v>6</v>
      </c>
      <c r="G50" s="9" t="s">
        <v>6</v>
      </c>
      <c r="H50" s="9" t="s">
        <v>6</v>
      </c>
      <c r="I50" s="9" t="s">
        <v>6</v>
      </c>
      <c r="J50" s="9" t="s">
        <v>6</v>
      </c>
      <c r="K50" s="9" t="s">
        <v>6</v>
      </c>
      <c r="L50" s="9" t="s">
        <v>6</v>
      </c>
      <c r="M50" s="9" t="s">
        <v>6</v>
      </c>
      <c r="N50" s="9" t="s">
        <v>6</v>
      </c>
      <c r="O50" s="9" t="s">
        <v>6</v>
      </c>
      <c r="P50" s="9" t="s">
        <v>6</v>
      </c>
      <c r="Q50" s="9" t="s">
        <v>6</v>
      </c>
      <c r="R50" s="9" t="s">
        <v>6</v>
      </c>
      <c r="S50" s="9" t="s">
        <v>6</v>
      </c>
      <c r="T50" s="9" t="s">
        <v>6</v>
      </c>
      <c r="U50" s="9" t="s">
        <v>6</v>
      </c>
      <c r="V50" s="9" t="s">
        <v>6</v>
      </c>
      <c r="W50" s="9" t="s">
        <v>6</v>
      </c>
      <c r="X50" s="9" t="s">
        <v>6</v>
      </c>
      <c r="Y50" s="9" t="s">
        <v>6</v>
      </c>
      <c r="Z50" s="9" t="s">
        <v>6</v>
      </c>
      <c r="AA50" s="9" t="s">
        <v>6</v>
      </c>
      <c r="AB50" s="9" t="s">
        <v>6</v>
      </c>
      <c r="AC50" s="9" t="s">
        <v>6</v>
      </c>
      <c r="AD50" s="9" t="s">
        <v>6</v>
      </c>
      <c r="AE50" s="9" t="s">
        <v>6</v>
      </c>
      <c r="AF50" s="9" t="s">
        <v>6</v>
      </c>
      <c r="AG50" s="9" t="s">
        <v>6</v>
      </c>
      <c r="AH50" s="9" t="s">
        <v>6</v>
      </c>
      <c r="AI50" s="9" t="s">
        <v>6</v>
      </c>
      <c r="AJ50" s="9" t="s">
        <v>6</v>
      </c>
    </row>
    <row r="51" spans="1:36" x14ac:dyDescent="0.15">
      <c r="A51" s="7" t="s">
        <v>447</v>
      </c>
      <c r="B51" s="9" t="s">
        <v>6</v>
      </c>
      <c r="C51" s="9" t="s">
        <v>6</v>
      </c>
      <c r="D51" s="9" t="s">
        <v>6</v>
      </c>
      <c r="E51" s="9" t="s">
        <v>6</v>
      </c>
      <c r="F51" s="9" t="s">
        <v>6</v>
      </c>
      <c r="G51" s="9" t="s">
        <v>6</v>
      </c>
      <c r="H51" s="9" t="s">
        <v>6</v>
      </c>
      <c r="I51" s="9" t="s">
        <v>6</v>
      </c>
      <c r="J51" s="9" t="s">
        <v>6</v>
      </c>
      <c r="K51" s="9" t="s">
        <v>6</v>
      </c>
      <c r="L51" s="9" t="s">
        <v>6</v>
      </c>
      <c r="M51" s="9" t="s">
        <v>6</v>
      </c>
      <c r="N51" s="9" t="s">
        <v>6</v>
      </c>
      <c r="O51" s="9" t="s">
        <v>6</v>
      </c>
      <c r="P51" s="9" t="s">
        <v>6</v>
      </c>
      <c r="Q51" s="9" t="s">
        <v>6</v>
      </c>
      <c r="R51" s="9" t="s">
        <v>6</v>
      </c>
      <c r="S51" s="9" t="s">
        <v>6</v>
      </c>
      <c r="T51" s="9" t="s">
        <v>6</v>
      </c>
      <c r="U51" s="9" t="s">
        <v>6</v>
      </c>
      <c r="V51" s="9" t="s">
        <v>6</v>
      </c>
      <c r="W51" s="9" t="s">
        <v>6</v>
      </c>
      <c r="X51" s="9" t="s">
        <v>6</v>
      </c>
      <c r="Y51" s="9" t="s">
        <v>6</v>
      </c>
      <c r="Z51" s="9" t="s">
        <v>6</v>
      </c>
      <c r="AA51" s="9" t="s">
        <v>6</v>
      </c>
      <c r="AB51" s="9" t="s">
        <v>6</v>
      </c>
      <c r="AC51" s="9" t="s">
        <v>6</v>
      </c>
      <c r="AD51" s="9" t="s">
        <v>6</v>
      </c>
      <c r="AE51" s="9" t="s">
        <v>6</v>
      </c>
      <c r="AF51" s="9" t="s">
        <v>6</v>
      </c>
      <c r="AG51" s="9" t="s">
        <v>6</v>
      </c>
      <c r="AH51" s="9" t="s">
        <v>6</v>
      </c>
      <c r="AI51" s="9" t="s">
        <v>6</v>
      </c>
      <c r="AJ51" s="9" t="s">
        <v>6</v>
      </c>
    </row>
    <row r="52" spans="1:36" x14ac:dyDescent="0.15">
      <c r="A52" s="7" t="s">
        <v>448</v>
      </c>
      <c r="B52" s="9" t="s">
        <v>6</v>
      </c>
      <c r="C52" s="9" t="s">
        <v>6</v>
      </c>
      <c r="D52" s="9" t="s">
        <v>6</v>
      </c>
      <c r="E52" s="9" t="s">
        <v>6</v>
      </c>
      <c r="F52" s="9" t="s">
        <v>6</v>
      </c>
      <c r="G52" s="9" t="s">
        <v>6</v>
      </c>
      <c r="H52" s="9" t="s">
        <v>6</v>
      </c>
      <c r="I52" s="9" t="s">
        <v>6</v>
      </c>
      <c r="J52" s="9" t="s">
        <v>6</v>
      </c>
      <c r="K52" s="9" t="s">
        <v>6</v>
      </c>
      <c r="L52" s="9" t="s">
        <v>6</v>
      </c>
      <c r="M52" s="9" t="s">
        <v>6</v>
      </c>
      <c r="N52" s="9" t="s">
        <v>6</v>
      </c>
      <c r="O52" s="9" t="s">
        <v>6</v>
      </c>
      <c r="P52" s="9" t="s">
        <v>6</v>
      </c>
      <c r="Q52" s="9" t="s">
        <v>6</v>
      </c>
      <c r="R52" s="9" t="s">
        <v>6</v>
      </c>
      <c r="S52" s="9" t="s">
        <v>6</v>
      </c>
      <c r="T52" s="9" t="s">
        <v>6</v>
      </c>
      <c r="U52" s="9" t="s">
        <v>6</v>
      </c>
      <c r="V52" s="9" t="s">
        <v>6</v>
      </c>
      <c r="W52" s="9" t="s">
        <v>6</v>
      </c>
      <c r="X52" s="9" t="s">
        <v>6</v>
      </c>
      <c r="Y52" s="9" t="s">
        <v>6</v>
      </c>
      <c r="Z52" s="9" t="s">
        <v>6</v>
      </c>
      <c r="AA52" s="9" t="s">
        <v>6</v>
      </c>
      <c r="AB52" s="9" t="s">
        <v>6</v>
      </c>
      <c r="AC52" s="9" t="s">
        <v>6</v>
      </c>
      <c r="AD52" s="9" t="s">
        <v>6</v>
      </c>
      <c r="AE52" s="9" t="s">
        <v>6</v>
      </c>
      <c r="AF52" s="9" t="s">
        <v>6</v>
      </c>
      <c r="AG52" s="9" t="s">
        <v>6</v>
      </c>
      <c r="AH52" s="9" t="s">
        <v>6</v>
      </c>
      <c r="AI52" s="9" t="s">
        <v>6</v>
      </c>
      <c r="AJ52" s="9" t="s">
        <v>6</v>
      </c>
    </row>
    <row r="53" spans="1:36" x14ac:dyDescent="0.15">
      <c r="A53" s="7" t="s">
        <v>449</v>
      </c>
      <c r="B53" s="9" t="s">
        <v>6</v>
      </c>
      <c r="C53" s="9" t="s">
        <v>6</v>
      </c>
      <c r="D53" s="9" t="s">
        <v>6</v>
      </c>
      <c r="E53" s="9" t="s">
        <v>6</v>
      </c>
      <c r="F53" s="9" t="s">
        <v>6</v>
      </c>
      <c r="G53" s="9" t="s">
        <v>6</v>
      </c>
      <c r="H53" s="9" t="s">
        <v>6</v>
      </c>
      <c r="I53" s="9" t="s">
        <v>6</v>
      </c>
      <c r="J53" s="9" t="s">
        <v>6</v>
      </c>
      <c r="K53" s="9" t="s">
        <v>6</v>
      </c>
      <c r="L53" s="10">
        <v>0.05</v>
      </c>
      <c r="M53" s="10">
        <v>0.05</v>
      </c>
      <c r="N53" s="9" t="s">
        <v>6</v>
      </c>
      <c r="O53" s="9" t="s">
        <v>6</v>
      </c>
      <c r="P53" s="9" t="s">
        <v>6</v>
      </c>
      <c r="Q53" s="10">
        <v>1.31</v>
      </c>
      <c r="R53" s="10">
        <v>1.53</v>
      </c>
      <c r="S53" s="10">
        <v>1.67</v>
      </c>
      <c r="T53" s="9" t="s">
        <v>6</v>
      </c>
      <c r="U53" s="9" t="s">
        <v>6</v>
      </c>
      <c r="V53" s="10">
        <v>0.73</v>
      </c>
      <c r="W53" s="10">
        <v>0.54</v>
      </c>
      <c r="X53" s="9" t="s">
        <v>6</v>
      </c>
      <c r="Y53" s="9" t="s">
        <v>6</v>
      </c>
      <c r="Z53" s="9" t="s">
        <v>6</v>
      </c>
      <c r="AA53" s="10">
        <v>10.39</v>
      </c>
      <c r="AB53" s="10">
        <v>7.53</v>
      </c>
      <c r="AC53" s="9" t="s">
        <v>6</v>
      </c>
      <c r="AD53" s="9" t="s">
        <v>6</v>
      </c>
      <c r="AE53" s="9" t="s">
        <v>6</v>
      </c>
      <c r="AF53" s="10">
        <v>14.56</v>
      </c>
      <c r="AG53" s="10">
        <v>11.61</v>
      </c>
      <c r="AH53" s="10">
        <v>13.93</v>
      </c>
      <c r="AI53" s="9" t="s">
        <v>6</v>
      </c>
      <c r="AJ53" s="9" t="s">
        <v>6</v>
      </c>
    </row>
    <row r="54" spans="1:36" x14ac:dyDescent="0.15">
      <c r="A54" s="7" t="s">
        <v>450</v>
      </c>
      <c r="B54" s="10">
        <v>0.57999999999999996</v>
      </c>
      <c r="C54" s="10">
        <v>0.67</v>
      </c>
      <c r="D54" s="10">
        <v>0.52</v>
      </c>
      <c r="E54" s="9" t="s">
        <v>6</v>
      </c>
      <c r="F54" s="9" t="s">
        <v>6</v>
      </c>
      <c r="G54" s="9" t="s">
        <v>6</v>
      </c>
      <c r="H54" s="9" t="s">
        <v>6</v>
      </c>
      <c r="I54" s="10">
        <v>11.31</v>
      </c>
      <c r="J54" s="9" t="s">
        <v>6</v>
      </c>
      <c r="K54" s="9" t="s">
        <v>6</v>
      </c>
      <c r="L54" s="10">
        <v>0.35</v>
      </c>
      <c r="M54" s="10">
        <v>0.3</v>
      </c>
      <c r="N54" s="10">
        <v>0.09</v>
      </c>
      <c r="O54" s="9" t="s">
        <v>6</v>
      </c>
      <c r="P54" s="9" t="s">
        <v>6</v>
      </c>
      <c r="Q54" s="10">
        <v>1.77</v>
      </c>
      <c r="R54" s="10">
        <v>1.87</v>
      </c>
      <c r="S54" s="10">
        <v>1.37</v>
      </c>
      <c r="T54" s="10">
        <v>0.05</v>
      </c>
      <c r="U54" s="9" t="s">
        <v>6</v>
      </c>
      <c r="V54" s="10">
        <v>-0.39</v>
      </c>
      <c r="W54" s="10">
        <v>-0.56999999999999995</v>
      </c>
      <c r="X54" s="10">
        <v>13.02</v>
      </c>
      <c r="Y54" s="9" t="s">
        <v>6</v>
      </c>
      <c r="Z54" s="9" t="s">
        <v>6</v>
      </c>
      <c r="AA54" s="10">
        <v>-5.1100000000000003</v>
      </c>
      <c r="AB54" s="10">
        <v>-7.15</v>
      </c>
      <c r="AC54" s="10">
        <v>133.09</v>
      </c>
      <c r="AD54" s="9" t="s">
        <v>6</v>
      </c>
      <c r="AE54" s="9" t="s">
        <v>6</v>
      </c>
      <c r="AF54" s="10">
        <v>-1.1200000000000001</v>
      </c>
      <c r="AG54" s="10">
        <v>-1.87</v>
      </c>
      <c r="AH54" s="10">
        <v>144.97</v>
      </c>
      <c r="AI54" s="10">
        <v>60.43</v>
      </c>
      <c r="AJ54" s="10">
        <v>9.89</v>
      </c>
    </row>
    <row r="55" spans="1:36" x14ac:dyDescent="0.15">
      <c r="A55" s="7" t="s">
        <v>451</v>
      </c>
      <c r="B55" s="9" t="s">
        <v>6</v>
      </c>
      <c r="C55" s="9" t="s">
        <v>6</v>
      </c>
      <c r="D55" s="9" t="s">
        <v>6</v>
      </c>
      <c r="E55" s="9" t="s">
        <v>6</v>
      </c>
      <c r="F55" s="9" t="s">
        <v>6</v>
      </c>
      <c r="G55" s="9" t="s">
        <v>6</v>
      </c>
      <c r="H55" s="9" t="s">
        <v>6</v>
      </c>
      <c r="I55" s="9" t="s">
        <v>6</v>
      </c>
      <c r="J55" s="9" t="s">
        <v>6</v>
      </c>
      <c r="K55" s="9" t="s">
        <v>6</v>
      </c>
      <c r="L55" s="9" t="s">
        <v>6</v>
      </c>
      <c r="M55" s="9" t="s">
        <v>6</v>
      </c>
      <c r="N55" s="9" t="s">
        <v>6</v>
      </c>
      <c r="O55" s="9" t="s">
        <v>6</v>
      </c>
      <c r="P55" s="9" t="s">
        <v>6</v>
      </c>
      <c r="Q55" s="9" t="s">
        <v>6</v>
      </c>
      <c r="R55" s="9" t="s">
        <v>6</v>
      </c>
      <c r="S55" s="9" t="s">
        <v>6</v>
      </c>
      <c r="T55" s="9" t="s">
        <v>6</v>
      </c>
      <c r="U55" s="9" t="s">
        <v>6</v>
      </c>
      <c r="V55" s="9" t="s">
        <v>6</v>
      </c>
      <c r="W55" s="9" t="s">
        <v>6</v>
      </c>
      <c r="X55" s="9" t="s">
        <v>6</v>
      </c>
      <c r="Y55" s="9" t="s">
        <v>6</v>
      </c>
      <c r="Z55" s="9" t="s">
        <v>6</v>
      </c>
      <c r="AA55" s="9" t="s">
        <v>6</v>
      </c>
      <c r="AB55" s="9" t="s">
        <v>6</v>
      </c>
      <c r="AC55" s="9" t="s">
        <v>6</v>
      </c>
      <c r="AD55" s="9" t="s">
        <v>6</v>
      </c>
      <c r="AE55" s="9" t="s">
        <v>6</v>
      </c>
      <c r="AF55" s="9" t="s">
        <v>6</v>
      </c>
      <c r="AG55" s="9" t="s">
        <v>6</v>
      </c>
      <c r="AH55" s="9" t="s">
        <v>6</v>
      </c>
      <c r="AI55" s="9" t="s">
        <v>6</v>
      </c>
      <c r="AJ55" s="9" t="s">
        <v>6</v>
      </c>
    </row>
    <row r="56" spans="1:36" x14ac:dyDescent="0.15">
      <c r="A56" s="7" t="s">
        <v>452</v>
      </c>
      <c r="B56" s="9" t="s">
        <v>6</v>
      </c>
      <c r="C56" s="9" t="s">
        <v>6</v>
      </c>
      <c r="D56" s="9" t="s">
        <v>6</v>
      </c>
      <c r="E56" s="9" t="s">
        <v>6</v>
      </c>
      <c r="F56" s="9" t="s">
        <v>6</v>
      </c>
      <c r="G56" s="9" t="s">
        <v>6</v>
      </c>
      <c r="H56" s="9" t="s">
        <v>6</v>
      </c>
      <c r="I56" s="9" t="s">
        <v>6</v>
      </c>
      <c r="J56" s="9" t="s">
        <v>6</v>
      </c>
      <c r="K56" s="9" t="s">
        <v>6</v>
      </c>
      <c r="L56" s="9" t="s">
        <v>6</v>
      </c>
      <c r="M56" s="9" t="s">
        <v>6</v>
      </c>
      <c r="N56" s="9" t="s">
        <v>6</v>
      </c>
      <c r="O56" s="9" t="s">
        <v>6</v>
      </c>
      <c r="P56" s="9" t="s">
        <v>6</v>
      </c>
      <c r="Q56" s="9" t="s">
        <v>6</v>
      </c>
      <c r="R56" s="9" t="s">
        <v>6</v>
      </c>
      <c r="S56" s="9" t="s">
        <v>6</v>
      </c>
      <c r="T56" s="9" t="s">
        <v>6</v>
      </c>
      <c r="U56" s="9" t="s">
        <v>6</v>
      </c>
      <c r="V56" s="9" t="s">
        <v>6</v>
      </c>
      <c r="W56" s="9" t="s">
        <v>6</v>
      </c>
      <c r="X56" s="9" t="s">
        <v>6</v>
      </c>
      <c r="Y56" s="9" t="s">
        <v>6</v>
      </c>
      <c r="Z56" s="9" t="s">
        <v>6</v>
      </c>
      <c r="AA56" s="9" t="s">
        <v>6</v>
      </c>
      <c r="AB56" s="9" t="s">
        <v>6</v>
      </c>
      <c r="AC56" s="9" t="s">
        <v>6</v>
      </c>
      <c r="AD56" s="9" t="s">
        <v>6</v>
      </c>
      <c r="AE56" s="9" t="s">
        <v>6</v>
      </c>
      <c r="AF56" s="9" t="s">
        <v>6</v>
      </c>
      <c r="AG56" s="9" t="s">
        <v>6</v>
      </c>
      <c r="AH56" s="9" t="s">
        <v>6</v>
      </c>
      <c r="AI56" s="9" t="s">
        <v>6</v>
      </c>
      <c r="AJ56" s="9" t="s">
        <v>6</v>
      </c>
    </row>
    <row r="57" spans="1:36" x14ac:dyDescent="0.15">
      <c r="A57" s="7" t="s">
        <v>453</v>
      </c>
      <c r="B57" s="10">
        <v>0.83</v>
      </c>
      <c r="C57" s="10">
        <v>0.1</v>
      </c>
      <c r="D57" s="10">
        <v>0.18</v>
      </c>
      <c r="E57" s="10">
        <v>0.01</v>
      </c>
      <c r="F57" s="10">
        <v>0.02</v>
      </c>
      <c r="G57" s="9" t="s">
        <v>6</v>
      </c>
      <c r="H57" s="9" t="s">
        <v>6</v>
      </c>
      <c r="I57" s="9" t="s">
        <v>6</v>
      </c>
      <c r="J57" s="9" t="s">
        <v>6</v>
      </c>
      <c r="K57" s="9" t="s">
        <v>6</v>
      </c>
      <c r="L57" s="10">
        <v>1.31</v>
      </c>
      <c r="M57" s="10">
        <v>1.08</v>
      </c>
      <c r="N57" s="10">
        <v>1.1000000000000001</v>
      </c>
      <c r="O57" s="10">
        <v>1.07</v>
      </c>
      <c r="P57" s="10">
        <v>1.1100000000000001</v>
      </c>
      <c r="Q57" s="9" t="s">
        <v>6</v>
      </c>
      <c r="R57" s="9" t="s">
        <v>6</v>
      </c>
      <c r="S57" s="9" t="s">
        <v>6</v>
      </c>
      <c r="T57" s="9" t="s">
        <v>6</v>
      </c>
      <c r="U57" s="8">
        <v>0</v>
      </c>
      <c r="V57" s="10">
        <v>9.07</v>
      </c>
      <c r="W57" s="10">
        <v>3.11</v>
      </c>
      <c r="X57" s="10">
        <v>6.54</v>
      </c>
      <c r="Y57" s="10">
        <v>4.67</v>
      </c>
      <c r="Z57" s="10">
        <v>8.1999999999999993</v>
      </c>
      <c r="AA57" s="10">
        <v>35.58</v>
      </c>
      <c r="AB57" s="10">
        <v>10.92</v>
      </c>
      <c r="AC57" s="10">
        <v>23.57</v>
      </c>
      <c r="AD57" s="10">
        <v>16.579999999999998</v>
      </c>
      <c r="AE57" s="10">
        <v>30.42</v>
      </c>
      <c r="AF57" s="10">
        <v>6.93</v>
      </c>
      <c r="AG57" s="10">
        <v>2.87</v>
      </c>
      <c r="AH57" s="10">
        <v>5.92</v>
      </c>
      <c r="AI57" s="10">
        <v>4.38</v>
      </c>
      <c r="AJ57" s="10">
        <v>7.36</v>
      </c>
    </row>
    <row r="58" spans="1:36" x14ac:dyDescent="0.15">
      <c r="A58" s="7" t="s">
        <v>454</v>
      </c>
      <c r="B58" s="9" t="s">
        <v>6</v>
      </c>
      <c r="C58" s="9" t="s">
        <v>6</v>
      </c>
      <c r="D58" s="9" t="s">
        <v>6</v>
      </c>
      <c r="E58" s="9" t="s">
        <v>6</v>
      </c>
      <c r="F58" s="9" t="s">
        <v>6</v>
      </c>
      <c r="G58" s="9" t="s">
        <v>6</v>
      </c>
      <c r="H58" s="9" t="s">
        <v>6</v>
      </c>
      <c r="I58" s="9" t="s">
        <v>6</v>
      </c>
      <c r="J58" s="9" t="s">
        <v>6</v>
      </c>
      <c r="K58" s="9" t="s">
        <v>6</v>
      </c>
      <c r="L58" s="9" t="s">
        <v>6</v>
      </c>
      <c r="M58" s="9" t="s">
        <v>6</v>
      </c>
      <c r="N58" s="9" t="s">
        <v>6</v>
      </c>
      <c r="O58" s="9" t="s">
        <v>6</v>
      </c>
      <c r="P58" s="9" t="s">
        <v>6</v>
      </c>
      <c r="Q58" s="9" t="s">
        <v>6</v>
      </c>
      <c r="R58" s="9" t="s">
        <v>6</v>
      </c>
      <c r="S58" s="9" t="s">
        <v>6</v>
      </c>
      <c r="T58" s="9" t="s">
        <v>6</v>
      </c>
      <c r="U58" s="9" t="s">
        <v>6</v>
      </c>
      <c r="V58" s="9" t="s">
        <v>6</v>
      </c>
      <c r="W58" s="9" t="s">
        <v>6</v>
      </c>
      <c r="X58" s="9" t="s">
        <v>6</v>
      </c>
      <c r="Y58" s="9" t="s">
        <v>6</v>
      </c>
      <c r="Z58" s="9" t="s">
        <v>6</v>
      </c>
      <c r="AA58" s="9" t="s">
        <v>6</v>
      </c>
      <c r="AB58" s="9" t="s">
        <v>6</v>
      </c>
      <c r="AC58" s="9" t="s">
        <v>6</v>
      </c>
      <c r="AD58" s="9" t="s">
        <v>6</v>
      </c>
      <c r="AE58" s="9" t="s">
        <v>6</v>
      </c>
      <c r="AF58" s="9" t="s">
        <v>6</v>
      </c>
      <c r="AG58" s="9" t="s">
        <v>6</v>
      </c>
      <c r="AH58" s="9" t="s">
        <v>6</v>
      </c>
      <c r="AI58" s="9" t="s">
        <v>6</v>
      </c>
      <c r="AJ58" s="9" t="s">
        <v>6</v>
      </c>
    </row>
    <row r="59" spans="1:36" x14ac:dyDescent="0.15">
      <c r="A59" s="7" t="s">
        <v>455</v>
      </c>
      <c r="B59" s="9" t="s">
        <v>6</v>
      </c>
      <c r="C59" s="9" t="s">
        <v>6</v>
      </c>
      <c r="D59" s="9" t="s">
        <v>6</v>
      </c>
      <c r="E59" s="9" t="s">
        <v>6</v>
      </c>
      <c r="F59" s="9" t="s">
        <v>6</v>
      </c>
      <c r="G59" s="9" t="s">
        <v>6</v>
      </c>
      <c r="H59" s="9" t="s">
        <v>6</v>
      </c>
      <c r="I59" s="9" t="s">
        <v>6</v>
      </c>
      <c r="J59" s="9" t="s">
        <v>6</v>
      </c>
      <c r="K59" s="9" t="s">
        <v>6</v>
      </c>
      <c r="L59" s="9" t="s">
        <v>6</v>
      </c>
      <c r="M59" s="9" t="s">
        <v>6</v>
      </c>
      <c r="N59" s="9" t="s">
        <v>6</v>
      </c>
      <c r="O59" s="9" t="s">
        <v>6</v>
      </c>
      <c r="P59" s="9" t="s">
        <v>6</v>
      </c>
      <c r="Q59" s="9" t="s">
        <v>6</v>
      </c>
      <c r="R59" s="9" t="s">
        <v>6</v>
      </c>
      <c r="S59" s="9" t="s">
        <v>6</v>
      </c>
      <c r="T59" s="9" t="s">
        <v>6</v>
      </c>
      <c r="U59" s="9" t="s">
        <v>6</v>
      </c>
      <c r="V59" s="9" t="s">
        <v>6</v>
      </c>
      <c r="W59" s="9" t="s">
        <v>6</v>
      </c>
      <c r="X59" s="9" t="s">
        <v>6</v>
      </c>
      <c r="Y59" s="9" t="s">
        <v>6</v>
      </c>
      <c r="Z59" s="9" t="s">
        <v>6</v>
      </c>
      <c r="AA59" s="9" t="s">
        <v>6</v>
      </c>
      <c r="AB59" s="9" t="s">
        <v>6</v>
      </c>
      <c r="AC59" s="9" t="s">
        <v>6</v>
      </c>
      <c r="AD59" s="9" t="s">
        <v>6</v>
      </c>
      <c r="AE59" s="9" t="s">
        <v>6</v>
      </c>
      <c r="AF59" s="9" t="s">
        <v>6</v>
      </c>
      <c r="AG59" s="9" t="s">
        <v>6</v>
      </c>
      <c r="AH59" s="9" t="s">
        <v>6</v>
      </c>
      <c r="AI59" s="9" t="s">
        <v>6</v>
      </c>
      <c r="AJ59" s="9" t="s">
        <v>6</v>
      </c>
    </row>
    <row r="60" spans="1:36" x14ac:dyDescent="0.15">
      <c r="A60" s="7" t="s">
        <v>456</v>
      </c>
      <c r="B60" s="9" t="s">
        <v>6</v>
      </c>
      <c r="C60" s="9" t="s">
        <v>6</v>
      </c>
      <c r="D60" s="9" t="s">
        <v>6</v>
      </c>
      <c r="E60" s="9" t="s">
        <v>6</v>
      </c>
      <c r="F60" s="9" t="s">
        <v>6</v>
      </c>
      <c r="G60" s="9" t="s">
        <v>6</v>
      </c>
      <c r="H60" s="9" t="s">
        <v>6</v>
      </c>
      <c r="I60" s="9" t="s">
        <v>6</v>
      </c>
      <c r="J60" s="9" t="s">
        <v>6</v>
      </c>
      <c r="K60" s="9" t="s">
        <v>6</v>
      </c>
      <c r="L60" s="9" t="s">
        <v>6</v>
      </c>
      <c r="M60" s="9" t="s">
        <v>6</v>
      </c>
      <c r="N60" s="9" t="s">
        <v>6</v>
      </c>
      <c r="O60" s="9" t="s">
        <v>6</v>
      </c>
      <c r="P60" s="9" t="s">
        <v>6</v>
      </c>
      <c r="Q60" s="9" t="s">
        <v>6</v>
      </c>
      <c r="R60" s="9" t="s">
        <v>6</v>
      </c>
      <c r="S60" s="9" t="s">
        <v>6</v>
      </c>
      <c r="T60" s="9" t="s">
        <v>6</v>
      </c>
      <c r="U60" s="9" t="s">
        <v>6</v>
      </c>
      <c r="V60" s="9" t="s">
        <v>6</v>
      </c>
      <c r="W60" s="9" t="s">
        <v>6</v>
      </c>
      <c r="X60" s="9" t="s">
        <v>6</v>
      </c>
      <c r="Y60" s="9" t="s">
        <v>6</v>
      </c>
      <c r="Z60" s="9" t="s">
        <v>6</v>
      </c>
      <c r="AA60" s="9" t="s">
        <v>6</v>
      </c>
      <c r="AB60" s="9" t="s">
        <v>6</v>
      </c>
      <c r="AC60" s="9" t="s">
        <v>6</v>
      </c>
      <c r="AD60" s="9" t="s">
        <v>6</v>
      </c>
      <c r="AE60" s="9" t="s">
        <v>6</v>
      </c>
      <c r="AF60" s="9" t="s">
        <v>6</v>
      </c>
      <c r="AG60" s="9" t="s">
        <v>6</v>
      </c>
      <c r="AH60" s="9" t="s">
        <v>6</v>
      </c>
      <c r="AI60" s="9" t="s">
        <v>6</v>
      </c>
      <c r="AJ60" s="9" t="s">
        <v>6</v>
      </c>
    </row>
    <row r="61" spans="1:36" x14ac:dyDescent="0.15">
      <c r="A61" s="7" t="s">
        <v>122</v>
      </c>
      <c r="B61" s="10">
        <v>1.05</v>
      </c>
      <c r="C61" s="10">
        <v>0.91</v>
      </c>
      <c r="D61" s="10">
        <v>0.67</v>
      </c>
      <c r="E61" s="10">
        <v>0.72</v>
      </c>
      <c r="F61" s="10">
        <v>0.6</v>
      </c>
      <c r="G61" s="9" t="s">
        <v>6</v>
      </c>
      <c r="H61" s="9" t="s">
        <v>6</v>
      </c>
      <c r="I61" s="9" t="s">
        <v>6</v>
      </c>
      <c r="J61" s="9" t="s">
        <v>6</v>
      </c>
      <c r="K61" s="9" t="s">
        <v>6</v>
      </c>
      <c r="L61" s="10">
        <v>0.68</v>
      </c>
      <c r="M61" s="10">
        <v>0.63</v>
      </c>
      <c r="N61" s="10">
        <v>0.61</v>
      </c>
      <c r="O61" s="10">
        <v>0.59</v>
      </c>
      <c r="P61" s="10">
        <v>0.56000000000000005</v>
      </c>
      <c r="Q61" s="10">
        <v>3.52</v>
      </c>
      <c r="R61" s="10">
        <v>4.9800000000000004</v>
      </c>
      <c r="S61" s="10">
        <v>5.53</v>
      </c>
      <c r="T61" s="10">
        <v>6.96</v>
      </c>
      <c r="U61" s="10">
        <v>36.82</v>
      </c>
      <c r="V61" s="10">
        <v>5.89</v>
      </c>
      <c r="W61" s="10">
        <v>4.26</v>
      </c>
      <c r="X61" s="10">
        <v>4.3499999999999996</v>
      </c>
      <c r="Y61" s="10">
        <v>10.79</v>
      </c>
      <c r="Z61" s="10">
        <v>1.46</v>
      </c>
      <c r="AA61" s="10">
        <v>40.659999999999997</v>
      </c>
      <c r="AB61" s="10">
        <v>36.85</v>
      </c>
      <c r="AC61" s="10">
        <v>43.75</v>
      </c>
      <c r="AD61" s="10">
        <v>192.59</v>
      </c>
      <c r="AE61" s="9" t="s">
        <v>6</v>
      </c>
      <c r="AF61" s="10">
        <v>8.73</v>
      </c>
      <c r="AG61" s="10">
        <v>6.74</v>
      </c>
      <c r="AH61" s="10">
        <v>7.19</v>
      </c>
      <c r="AI61" s="10">
        <v>18.420000000000002</v>
      </c>
      <c r="AJ61" s="10">
        <v>2.63</v>
      </c>
    </row>
    <row r="62" spans="1:36" x14ac:dyDescent="0.15">
      <c r="A62" s="7" t="s">
        <v>457</v>
      </c>
      <c r="B62" s="9" t="s">
        <v>6</v>
      </c>
      <c r="C62" s="10">
        <v>7.0000000000000007E-2</v>
      </c>
      <c r="D62" s="10">
        <v>0.06</v>
      </c>
      <c r="E62" s="9" t="s">
        <v>6</v>
      </c>
      <c r="F62" s="9" t="s">
        <v>6</v>
      </c>
      <c r="G62" s="9" t="s">
        <v>6</v>
      </c>
      <c r="H62" s="9" t="s">
        <v>6</v>
      </c>
      <c r="I62" s="9" t="s">
        <v>6</v>
      </c>
      <c r="J62" s="9" t="s">
        <v>6</v>
      </c>
      <c r="K62" s="9" t="s">
        <v>6</v>
      </c>
      <c r="L62" s="9" t="s">
        <v>6</v>
      </c>
      <c r="M62" s="10">
        <v>3.25</v>
      </c>
      <c r="N62" s="10">
        <v>3.52</v>
      </c>
      <c r="O62" s="9" t="s">
        <v>6</v>
      </c>
      <c r="P62" s="9" t="s">
        <v>6</v>
      </c>
      <c r="Q62" s="9" t="s">
        <v>6</v>
      </c>
      <c r="R62" s="9" t="s">
        <v>6</v>
      </c>
      <c r="S62" s="9" t="s">
        <v>6</v>
      </c>
      <c r="T62" s="9" t="s">
        <v>6</v>
      </c>
      <c r="U62" s="9" t="s">
        <v>6</v>
      </c>
      <c r="V62" s="9" t="s">
        <v>6</v>
      </c>
      <c r="W62" s="10">
        <v>-1.53</v>
      </c>
      <c r="X62" s="10">
        <v>-12.4</v>
      </c>
      <c r="Y62" s="9" t="s">
        <v>6</v>
      </c>
      <c r="Z62" s="9" t="s">
        <v>6</v>
      </c>
      <c r="AA62" s="9" t="s">
        <v>6</v>
      </c>
      <c r="AB62" s="9" t="s">
        <v>6</v>
      </c>
      <c r="AC62" s="9" t="s">
        <v>6</v>
      </c>
      <c r="AD62" s="9" t="s">
        <v>6</v>
      </c>
      <c r="AE62" s="9" t="s">
        <v>6</v>
      </c>
      <c r="AF62" s="9" t="s">
        <v>6</v>
      </c>
      <c r="AG62" s="10">
        <v>-0.47</v>
      </c>
      <c r="AH62" s="10">
        <v>-3.52</v>
      </c>
      <c r="AI62" s="10">
        <v>0.08</v>
      </c>
      <c r="AJ62" s="9" t="s">
        <v>6</v>
      </c>
    </row>
    <row r="63" spans="1:36" x14ac:dyDescent="0.15">
      <c r="A63" s="7" t="s">
        <v>458</v>
      </c>
      <c r="B63" s="9" t="s">
        <v>6</v>
      </c>
      <c r="C63" s="9" t="s">
        <v>6</v>
      </c>
      <c r="D63" s="9" t="s">
        <v>6</v>
      </c>
      <c r="E63" s="9" t="s">
        <v>6</v>
      </c>
      <c r="F63" s="9" t="s">
        <v>6</v>
      </c>
      <c r="G63" s="9" t="s">
        <v>6</v>
      </c>
      <c r="H63" s="9" t="s">
        <v>6</v>
      </c>
      <c r="I63" s="9" t="s">
        <v>6</v>
      </c>
      <c r="J63" s="9" t="s">
        <v>6</v>
      </c>
      <c r="K63" s="9" t="s">
        <v>6</v>
      </c>
      <c r="L63" s="9" t="s">
        <v>6</v>
      </c>
      <c r="M63" s="9" t="s">
        <v>6</v>
      </c>
      <c r="N63" s="9" t="s">
        <v>6</v>
      </c>
      <c r="O63" s="9" t="s">
        <v>6</v>
      </c>
      <c r="P63" s="9" t="s">
        <v>6</v>
      </c>
      <c r="Q63" s="9" t="s">
        <v>6</v>
      </c>
      <c r="R63" s="9" t="s">
        <v>6</v>
      </c>
      <c r="S63" s="9" t="s">
        <v>6</v>
      </c>
      <c r="T63" s="9" t="s">
        <v>6</v>
      </c>
      <c r="U63" s="9" t="s">
        <v>6</v>
      </c>
      <c r="V63" s="9" t="s">
        <v>6</v>
      </c>
      <c r="W63" s="9" t="s">
        <v>6</v>
      </c>
      <c r="X63" s="9" t="s">
        <v>6</v>
      </c>
      <c r="Y63" s="9" t="s">
        <v>6</v>
      </c>
      <c r="Z63" s="9" t="s">
        <v>6</v>
      </c>
      <c r="AA63" s="9" t="s">
        <v>6</v>
      </c>
      <c r="AB63" s="9" t="s">
        <v>6</v>
      </c>
      <c r="AC63" s="9" t="s">
        <v>6</v>
      </c>
      <c r="AD63" s="9" t="s">
        <v>6</v>
      </c>
      <c r="AE63" s="9" t="s">
        <v>6</v>
      </c>
      <c r="AF63" s="9" t="s">
        <v>6</v>
      </c>
      <c r="AG63" s="9" t="s">
        <v>6</v>
      </c>
      <c r="AH63" s="9" t="s">
        <v>6</v>
      </c>
      <c r="AI63" s="9" t="s">
        <v>6</v>
      </c>
      <c r="AJ63" s="9" t="s">
        <v>6</v>
      </c>
    </row>
    <row r="64" spans="1:36" x14ac:dyDescent="0.15">
      <c r="A64" s="7" t="s">
        <v>459</v>
      </c>
      <c r="B64" s="9" t="s">
        <v>6</v>
      </c>
      <c r="C64" s="9" t="s">
        <v>6</v>
      </c>
      <c r="D64" s="9" t="s">
        <v>6</v>
      </c>
      <c r="E64" s="9" t="s">
        <v>6</v>
      </c>
      <c r="F64" s="9" t="s">
        <v>6</v>
      </c>
      <c r="G64" s="9" t="s">
        <v>6</v>
      </c>
      <c r="H64" s="9" t="s">
        <v>6</v>
      </c>
      <c r="I64" s="9" t="s">
        <v>6</v>
      </c>
      <c r="J64" s="9" t="s">
        <v>6</v>
      </c>
      <c r="K64" s="9" t="s">
        <v>6</v>
      </c>
      <c r="L64" s="9" t="s">
        <v>6</v>
      </c>
      <c r="M64" s="9" t="s">
        <v>6</v>
      </c>
      <c r="N64" s="9" t="s">
        <v>6</v>
      </c>
      <c r="O64" s="9" t="s">
        <v>6</v>
      </c>
      <c r="P64" s="9" t="s">
        <v>6</v>
      </c>
      <c r="Q64" s="9" t="s">
        <v>6</v>
      </c>
      <c r="R64" s="9" t="s">
        <v>6</v>
      </c>
      <c r="S64" s="9" t="s">
        <v>6</v>
      </c>
      <c r="T64" s="9" t="s">
        <v>6</v>
      </c>
      <c r="U64" s="9" t="s">
        <v>6</v>
      </c>
      <c r="V64" s="9" t="s">
        <v>6</v>
      </c>
      <c r="W64" s="9" t="s">
        <v>6</v>
      </c>
      <c r="X64" s="9" t="s">
        <v>6</v>
      </c>
      <c r="Y64" s="9" t="s">
        <v>6</v>
      </c>
      <c r="Z64" s="9" t="s">
        <v>6</v>
      </c>
      <c r="AA64" s="9" t="s">
        <v>6</v>
      </c>
      <c r="AB64" s="9" t="s">
        <v>6</v>
      </c>
      <c r="AC64" s="9" t="s">
        <v>6</v>
      </c>
      <c r="AD64" s="9" t="s">
        <v>6</v>
      </c>
      <c r="AE64" s="9" t="s">
        <v>6</v>
      </c>
      <c r="AF64" s="9" t="s">
        <v>6</v>
      </c>
      <c r="AG64" s="9" t="s">
        <v>6</v>
      </c>
      <c r="AH64" s="9" t="s">
        <v>6</v>
      </c>
      <c r="AI64" s="9" t="s">
        <v>6</v>
      </c>
      <c r="AJ64" s="9" t="s">
        <v>6</v>
      </c>
    </row>
    <row r="65" spans="1:36" x14ac:dyDescent="0.15">
      <c r="A65" s="7" t="s">
        <v>460</v>
      </c>
      <c r="B65" s="9" t="s">
        <v>6</v>
      </c>
      <c r="C65" s="9" t="s">
        <v>6</v>
      </c>
      <c r="D65" s="9" t="s">
        <v>6</v>
      </c>
      <c r="E65" s="9" t="s">
        <v>6</v>
      </c>
      <c r="F65" s="9" t="s">
        <v>6</v>
      </c>
      <c r="G65" s="9" t="s">
        <v>6</v>
      </c>
      <c r="H65" s="9" t="s">
        <v>6</v>
      </c>
      <c r="I65" s="9" t="s">
        <v>6</v>
      </c>
      <c r="J65" s="9" t="s">
        <v>6</v>
      </c>
      <c r="K65" s="9" t="s">
        <v>6</v>
      </c>
      <c r="L65" s="9" t="s">
        <v>6</v>
      </c>
      <c r="M65" s="9" t="s">
        <v>6</v>
      </c>
      <c r="N65" s="9" t="s">
        <v>6</v>
      </c>
      <c r="O65" s="9" t="s">
        <v>6</v>
      </c>
      <c r="P65" s="9" t="s">
        <v>6</v>
      </c>
      <c r="Q65" s="9" t="s">
        <v>6</v>
      </c>
      <c r="R65" s="9" t="s">
        <v>6</v>
      </c>
      <c r="S65" s="9" t="s">
        <v>6</v>
      </c>
      <c r="T65" s="9" t="s">
        <v>6</v>
      </c>
      <c r="U65" s="9" t="s">
        <v>6</v>
      </c>
      <c r="V65" s="9" t="s">
        <v>6</v>
      </c>
      <c r="W65" s="9" t="s">
        <v>6</v>
      </c>
      <c r="X65" s="9" t="s">
        <v>6</v>
      </c>
      <c r="Y65" s="9" t="s">
        <v>6</v>
      </c>
      <c r="Z65" s="9" t="s">
        <v>6</v>
      </c>
      <c r="AA65" s="9" t="s">
        <v>6</v>
      </c>
      <c r="AB65" s="9" t="s">
        <v>6</v>
      </c>
      <c r="AC65" s="9" t="s">
        <v>6</v>
      </c>
      <c r="AD65" s="9" t="s">
        <v>6</v>
      </c>
      <c r="AE65" s="9" t="s">
        <v>6</v>
      </c>
      <c r="AF65" s="9" t="s">
        <v>6</v>
      </c>
      <c r="AG65" s="9" t="s">
        <v>6</v>
      </c>
      <c r="AH65" s="9" t="s">
        <v>6</v>
      </c>
      <c r="AI65" s="9" t="s">
        <v>6</v>
      </c>
      <c r="AJ65" s="9" t="s">
        <v>6</v>
      </c>
    </row>
    <row r="66" spans="1:36" x14ac:dyDescent="0.15">
      <c r="A66" s="7" t="s">
        <v>461</v>
      </c>
      <c r="B66" s="9" t="s">
        <v>6</v>
      </c>
      <c r="C66" s="9" t="s">
        <v>6</v>
      </c>
      <c r="D66" s="9" t="s">
        <v>6</v>
      </c>
      <c r="E66" s="9" t="s">
        <v>6</v>
      </c>
      <c r="F66" s="9" t="s">
        <v>6</v>
      </c>
      <c r="G66" s="9" t="s">
        <v>6</v>
      </c>
      <c r="H66" s="9" t="s">
        <v>6</v>
      </c>
      <c r="I66" s="9" t="s">
        <v>6</v>
      </c>
      <c r="J66" s="9" t="s">
        <v>6</v>
      </c>
      <c r="K66" s="9" t="s">
        <v>6</v>
      </c>
      <c r="L66" s="9" t="s">
        <v>6</v>
      </c>
      <c r="M66" s="9" t="s">
        <v>6</v>
      </c>
      <c r="N66" s="9" t="s">
        <v>6</v>
      </c>
      <c r="O66" s="9" t="s">
        <v>6</v>
      </c>
      <c r="P66" s="9" t="s">
        <v>6</v>
      </c>
      <c r="Q66" s="9" t="s">
        <v>6</v>
      </c>
      <c r="R66" s="9" t="s">
        <v>6</v>
      </c>
      <c r="S66" s="9" t="s">
        <v>6</v>
      </c>
      <c r="T66" s="9" t="s">
        <v>6</v>
      </c>
      <c r="U66" s="9" t="s">
        <v>6</v>
      </c>
      <c r="V66" s="9" t="s">
        <v>6</v>
      </c>
      <c r="W66" s="9" t="s">
        <v>6</v>
      </c>
      <c r="X66" s="9" t="s">
        <v>6</v>
      </c>
      <c r="Y66" s="9" t="s">
        <v>6</v>
      </c>
      <c r="Z66" s="9" t="s">
        <v>6</v>
      </c>
      <c r="AA66" s="9" t="s">
        <v>6</v>
      </c>
      <c r="AB66" s="9" t="s">
        <v>6</v>
      </c>
      <c r="AC66" s="9" t="s">
        <v>6</v>
      </c>
      <c r="AD66" s="9" t="s">
        <v>6</v>
      </c>
      <c r="AE66" s="9" t="s">
        <v>6</v>
      </c>
      <c r="AF66" s="9" t="s">
        <v>6</v>
      </c>
      <c r="AG66" s="9" t="s">
        <v>6</v>
      </c>
      <c r="AH66" s="9" t="s">
        <v>6</v>
      </c>
      <c r="AI66" s="9" t="s">
        <v>6</v>
      </c>
      <c r="AJ66" s="9" t="s">
        <v>6</v>
      </c>
    </row>
    <row r="67" spans="1:36" x14ac:dyDescent="0.15">
      <c r="A67" s="7" t="s">
        <v>462</v>
      </c>
      <c r="B67" s="10">
        <v>0.38</v>
      </c>
      <c r="C67" s="10">
        <v>0.45</v>
      </c>
      <c r="D67" s="10">
        <v>0.34</v>
      </c>
      <c r="E67" s="10">
        <v>0.77</v>
      </c>
      <c r="F67" s="10">
        <v>0.75</v>
      </c>
      <c r="G67" s="10">
        <v>51.41</v>
      </c>
      <c r="H67" s="10">
        <v>39.25</v>
      </c>
      <c r="I67" s="10">
        <v>37.99</v>
      </c>
      <c r="J67" s="10">
        <v>34.520000000000003</v>
      </c>
      <c r="K67" s="10">
        <v>33.29</v>
      </c>
      <c r="L67" s="10">
        <v>1.41</v>
      </c>
      <c r="M67" s="10">
        <v>1.46</v>
      </c>
      <c r="N67" s="10">
        <v>1.54</v>
      </c>
      <c r="O67" s="10">
        <v>1.55</v>
      </c>
      <c r="P67" s="10">
        <v>1.67</v>
      </c>
      <c r="Q67" s="10">
        <v>0.53</v>
      </c>
      <c r="R67" s="10">
        <v>0.49</v>
      </c>
      <c r="S67" s="10">
        <v>0.7</v>
      </c>
      <c r="T67" s="10">
        <v>0.4</v>
      </c>
      <c r="U67" s="10">
        <v>0.42</v>
      </c>
      <c r="V67" s="10">
        <v>5.34</v>
      </c>
      <c r="W67" s="10">
        <v>6.45</v>
      </c>
      <c r="X67" s="10">
        <v>5.4</v>
      </c>
      <c r="Y67" s="10">
        <v>3.78</v>
      </c>
      <c r="Z67" s="10">
        <v>8.1999999999999993</v>
      </c>
      <c r="AA67" s="10">
        <v>11.36</v>
      </c>
      <c r="AB67" s="10">
        <v>14.67</v>
      </c>
      <c r="AC67" s="10">
        <v>12.4</v>
      </c>
      <c r="AD67" s="10">
        <v>8.09</v>
      </c>
      <c r="AE67" s="10">
        <v>15.33</v>
      </c>
      <c r="AF67" s="10">
        <v>3.79</v>
      </c>
      <c r="AG67" s="10">
        <v>4.42</v>
      </c>
      <c r="AH67" s="10">
        <v>3.51</v>
      </c>
      <c r="AI67" s="10">
        <v>2.44</v>
      </c>
      <c r="AJ67" s="10">
        <v>4.92</v>
      </c>
    </row>
    <row r="68" spans="1:36" x14ac:dyDescent="0.15">
      <c r="A68" s="7" t="s">
        <v>463</v>
      </c>
      <c r="B68" s="9" t="s">
        <v>6</v>
      </c>
      <c r="C68" s="9" t="s">
        <v>6</v>
      </c>
      <c r="D68" s="9" t="s">
        <v>6</v>
      </c>
      <c r="E68" s="9" t="s">
        <v>6</v>
      </c>
      <c r="F68" s="9" t="s">
        <v>6</v>
      </c>
      <c r="G68" s="9" t="s">
        <v>6</v>
      </c>
      <c r="H68" s="9" t="s">
        <v>6</v>
      </c>
      <c r="I68" s="9" t="s">
        <v>6</v>
      </c>
      <c r="J68" s="9" t="s">
        <v>6</v>
      </c>
      <c r="K68" s="9" t="s">
        <v>6</v>
      </c>
      <c r="L68" s="9" t="s">
        <v>6</v>
      </c>
      <c r="M68" s="9" t="s">
        <v>6</v>
      </c>
      <c r="N68" s="9" t="s">
        <v>6</v>
      </c>
      <c r="O68" s="9" t="s">
        <v>6</v>
      </c>
      <c r="P68" s="9" t="s">
        <v>6</v>
      </c>
      <c r="Q68" s="9" t="s">
        <v>6</v>
      </c>
      <c r="R68" s="9" t="s">
        <v>6</v>
      </c>
      <c r="S68" s="9" t="s">
        <v>6</v>
      </c>
      <c r="T68" s="9" t="s">
        <v>6</v>
      </c>
      <c r="U68" s="9" t="s">
        <v>6</v>
      </c>
      <c r="V68" s="9" t="s">
        <v>6</v>
      </c>
      <c r="W68" s="9" t="s">
        <v>6</v>
      </c>
      <c r="X68" s="9" t="s">
        <v>6</v>
      </c>
      <c r="Y68" s="9" t="s">
        <v>6</v>
      </c>
      <c r="Z68" s="9" t="s">
        <v>6</v>
      </c>
      <c r="AA68" s="9" t="s">
        <v>6</v>
      </c>
      <c r="AB68" s="9" t="s">
        <v>6</v>
      </c>
      <c r="AC68" s="9" t="s">
        <v>6</v>
      </c>
      <c r="AD68" s="9" t="s">
        <v>6</v>
      </c>
      <c r="AE68" s="9" t="s">
        <v>6</v>
      </c>
      <c r="AF68" s="9" t="s">
        <v>6</v>
      </c>
      <c r="AG68" s="9" t="s">
        <v>6</v>
      </c>
      <c r="AH68" s="9" t="s">
        <v>6</v>
      </c>
      <c r="AI68" s="9" t="s">
        <v>6</v>
      </c>
      <c r="AJ68" s="9" t="s">
        <v>6</v>
      </c>
    </row>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4:H68"/>
  <sheetViews>
    <sheetView workbookViewId="0">
      <selection activeCell="A63" sqref="A63"/>
    </sheetView>
  </sheetViews>
  <sheetFormatPr baseColWidth="10" defaultColWidth="8.83203125" defaultRowHeight="13" x14ac:dyDescent="0.15"/>
  <cols>
    <col min="1" max="1" width="30" customWidth="1"/>
  </cols>
  <sheetData>
    <row r="4" spans="1:2" x14ac:dyDescent="0.15">
      <c r="A4" s="16" t="s">
        <v>168</v>
      </c>
    </row>
    <row r="5" spans="1:2" ht="20" x14ac:dyDescent="0.2">
      <c r="A5" s="17" t="s">
        <v>169</v>
      </c>
    </row>
    <row r="8" spans="1:2" ht="18" x14ac:dyDescent="0.2">
      <c r="A8" s="18" t="s">
        <v>332</v>
      </c>
    </row>
    <row r="9" spans="1:2" x14ac:dyDescent="0.15">
      <c r="A9" s="19" t="s">
        <v>333</v>
      </c>
      <c r="B9" s="19" t="s">
        <v>334</v>
      </c>
    </row>
    <row r="10" spans="1:2" x14ac:dyDescent="0.15">
      <c r="A10" s="7" t="s">
        <v>335</v>
      </c>
      <c r="B10" s="7" t="s">
        <v>336</v>
      </c>
    </row>
    <row r="11" spans="1:2" x14ac:dyDescent="0.15">
      <c r="A11" s="7"/>
    </row>
    <row r="12" spans="1:2" x14ac:dyDescent="0.15">
      <c r="A12" s="19" t="s">
        <v>337</v>
      </c>
      <c r="B12" s="19" t="s">
        <v>338</v>
      </c>
    </row>
    <row r="13" spans="1:2" x14ac:dyDescent="0.15">
      <c r="A13" s="7" t="s">
        <v>339</v>
      </c>
      <c r="B13" s="7" t="s">
        <v>340</v>
      </c>
    </row>
    <row r="14" spans="1:2" x14ac:dyDescent="0.15">
      <c r="A14" s="7"/>
    </row>
    <row r="15" spans="1:2" x14ac:dyDescent="0.15">
      <c r="A15" s="19" t="s">
        <v>341</v>
      </c>
      <c r="B15" s="19" t="s">
        <v>342</v>
      </c>
    </row>
    <row r="16" spans="1:2" x14ac:dyDescent="0.15">
      <c r="A16" s="7" t="s">
        <v>343</v>
      </c>
      <c r="B16" s="7" t="s">
        <v>344</v>
      </c>
    </row>
    <row r="17" spans="1:2" x14ac:dyDescent="0.15">
      <c r="A17" s="7"/>
    </row>
    <row r="18" spans="1:2" x14ac:dyDescent="0.15">
      <c r="A18" s="19" t="s">
        <v>345</v>
      </c>
      <c r="B18" s="19" t="s">
        <v>346</v>
      </c>
    </row>
    <row r="19" spans="1:2" x14ac:dyDescent="0.15">
      <c r="A19" s="7" t="s">
        <v>347</v>
      </c>
      <c r="B19" s="7" t="s">
        <v>348</v>
      </c>
    </row>
    <row r="20" spans="1:2" x14ac:dyDescent="0.15">
      <c r="A20" s="7"/>
    </row>
    <row r="21" spans="1:2" x14ac:dyDescent="0.15">
      <c r="A21" s="19" t="s">
        <v>349</v>
      </c>
      <c r="B21" s="19" t="s">
        <v>350</v>
      </c>
    </row>
    <row r="22" spans="1:2" x14ac:dyDescent="0.15">
      <c r="A22" s="7" t="s">
        <v>351</v>
      </c>
      <c r="B22" s="7" t="s">
        <v>352</v>
      </c>
    </row>
    <row r="23" spans="1:2" x14ac:dyDescent="0.15">
      <c r="A23" s="7"/>
    </row>
    <row r="24" spans="1:2" x14ac:dyDescent="0.15">
      <c r="A24" s="19" t="s">
        <v>353</v>
      </c>
      <c r="B24" s="19" t="s">
        <v>354</v>
      </c>
    </row>
    <row r="25" spans="1:2" x14ac:dyDescent="0.15">
      <c r="A25" s="7" t="s">
        <v>355</v>
      </c>
      <c r="B25" s="7" t="s">
        <v>356</v>
      </c>
    </row>
    <row r="26" spans="1:2" x14ac:dyDescent="0.15">
      <c r="A26" s="7"/>
    </row>
    <row r="27" spans="1:2" x14ac:dyDescent="0.15">
      <c r="A27" s="19" t="s">
        <v>357</v>
      </c>
      <c r="B27" s="7"/>
    </row>
    <row r="28" spans="1:2" x14ac:dyDescent="0.15">
      <c r="A28" s="7" t="s">
        <v>358</v>
      </c>
      <c r="B28" s="7"/>
    </row>
    <row r="29" spans="1:2" x14ac:dyDescent="0.15">
      <c r="A29" s="7"/>
    </row>
    <row r="31" spans="1:2" ht="18" x14ac:dyDescent="0.2">
      <c r="A31" s="18" t="s">
        <v>359</v>
      </c>
    </row>
    <row r="32" spans="1:2" ht="112" x14ac:dyDescent="0.15">
      <c r="A32" s="3" t="s">
        <v>360</v>
      </c>
    </row>
    <row r="33" spans="1:8" ht="112" x14ac:dyDescent="0.15">
      <c r="A33" s="3" t="s">
        <v>361</v>
      </c>
    </row>
    <row r="34" spans="1:8" ht="98" x14ac:dyDescent="0.15">
      <c r="A34" s="3" t="s">
        <v>362</v>
      </c>
    </row>
    <row r="36" spans="1:8" ht="28" x14ac:dyDescent="0.15">
      <c r="A36" s="20" t="s">
        <v>363</v>
      </c>
    </row>
    <row r="38" spans="1:8" x14ac:dyDescent="0.15">
      <c r="A38" s="19" t="s">
        <v>364</v>
      </c>
    </row>
    <row r="39" spans="1:8" x14ac:dyDescent="0.15">
      <c r="A39" s="19" t="s">
        <v>365</v>
      </c>
      <c r="B39" s="19" t="s">
        <v>366</v>
      </c>
    </row>
    <row r="40" spans="1:8" x14ac:dyDescent="0.15">
      <c r="A40" s="19" t="s">
        <v>367</v>
      </c>
      <c r="B40" s="19" t="s">
        <v>368</v>
      </c>
    </row>
    <row r="42" spans="1:8" ht="56" x14ac:dyDescent="0.15">
      <c r="A42" s="19" t="s">
        <v>369</v>
      </c>
      <c r="B42" s="21" t="s">
        <v>370</v>
      </c>
      <c r="C42" s="21" t="s">
        <v>375</v>
      </c>
      <c r="D42" s="21" t="s">
        <v>380</v>
      </c>
      <c r="E42" s="21" t="s">
        <v>385</v>
      </c>
      <c r="F42" s="21" t="s">
        <v>390</v>
      </c>
      <c r="G42" s="21" t="s">
        <v>395</v>
      </c>
      <c r="H42" s="21" t="s">
        <v>400</v>
      </c>
    </row>
    <row r="43" spans="1:8" x14ac:dyDescent="0.15">
      <c r="A43" s="22" t="s">
        <v>464</v>
      </c>
      <c r="B43" s="21">
        <v>0.84</v>
      </c>
      <c r="C43" s="21">
        <v>60.7</v>
      </c>
      <c r="D43" s="21">
        <v>0.72</v>
      </c>
      <c r="E43" s="21">
        <v>1.6</v>
      </c>
      <c r="F43" s="21">
        <v>4.4400000000000004</v>
      </c>
      <c r="G43" s="21">
        <v>16.600000000000001</v>
      </c>
      <c r="H43" s="21">
        <v>7.4</v>
      </c>
    </row>
    <row r="44" spans="1:8" x14ac:dyDescent="0.15">
      <c r="A44" s="7" t="s">
        <v>440</v>
      </c>
      <c r="B44" s="10">
        <v>0.4</v>
      </c>
      <c r="C44" s="10">
        <v>59.63</v>
      </c>
      <c r="D44" s="10">
        <v>0.96</v>
      </c>
      <c r="E44" s="10">
        <v>0.31</v>
      </c>
      <c r="F44" s="10">
        <v>-1.76</v>
      </c>
      <c r="G44" s="10">
        <v>-3.01</v>
      </c>
      <c r="H44" s="10">
        <v>-1.84</v>
      </c>
    </row>
    <row r="45" spans="1:8" x14ac:dyDescent="0.15">
      <c r="A45" s="7" t="s">
        <v>441</v>
      </c>
      <c r="B45" s="10">
        <v>2.2000000000000002</v>
      </c>
      <c r="C45" s="9" t="s">
        <v>6</v>
      </c>
      <c r="D45" s="10">
        <v>0.6</v>
      </c>
      <c r="E45" s="10">
        <v>0.98</v>
      </c>
      <c r="F45" s="10">
        <v>16.61</v>
      </c>
      <c r="G45" s="10">
        <v>39.89</v>
      </c>
      <c r="H45" s="10">
        <v>27.52</v>
      </c>
    </row>
    <row r="46" spans="1:8" x14ac:dyDescent="0.15">
      <c r="A46" s="7" t="s">
        <v>442</v>
      </c>
      <c r="B46" s="10">
        <v>0.68</v>
      </c>
      <c r="C46" s="10">
        <v>71.069999999999993</v>
      </c>
      <c r="D46" s="10">
        <v>0.5</v>
      </c>
      <c r="E46" s="10">
        <v>3.47</v>
      </c>
      <c r="F46" s="10">
        <v>2.2000000000000002</v>
      </c>
      <c r="G46" s="10">
        <v>10.24</v>
      </c>
      <c r="H46" s="10">
        <v>4.38</v>
      </c>
    </row>
    <row r="47" spans="1:8" x14ac:dyDescent="0.15">
      <c r="A47" s="7" t="s">
        <v>443</v>
      </c>
      <c r="B47" s="9" t="s">
        <v>6</v>
      </c>
      <c r="C47" s="9" t="s">
        <v>6</v>
      </c>
      <c r="D47" s="9" t="s">
        <v>6</v>
      </c>
      <c r="E47" s="9" t="s">
        <v>6</v>
      </c>
      <c r="F47" s="9" t="s">
        <v>6</v>
      </c>
      <c r="G47" s="9" t="s">
        <v>6</v>
      </c>
      <c r="H47" s="9" t="s">
        <v>6</v>
      </c>
    </row>
    <row r="48" spans="1:8" x14ac:dyDescent="0.15">
      <c r="A48" s="7" t="s">
        <v>444</v>
      </c>
      <c r="B48" s="9" t="s">
        <v>6</v>
      </c>
      <c r="C48" s="9" t="s">
        <v>6</v>
      </c>
      <c r="D48" s="9" t="s">
        <v>6</v>
      </c>
      <c r="E48" s="9" t="s">
        <v>6</v>
      </c>
      <c r="F48" s="9" t="s">
        <v>6</v>
      </c>
      <c r="G48" s="9" t="s">
        <v>6</v>
      </c>
      <c r="H48" s="9" t="s">
        <v>6</v>
      </c>
    </row>
    <row r="49" spans="1:8" x14ac:dyDescent="0.15">
      <c r="A49" s="7" t="s">
        <v>445</v>
      </c>
      <c r="B49" s="10">
        <v>0.56999999999999995</v>
      </c>
      <c r="C49" s="9" t="s">
        <v>6</v>
      </c>
      <c r="D49" s="10">
        <v>0.61</v>
      </c>
      <c r="E49" s="10">
        <v>0.91</v>
      </c>
      <c r="F49" s="10">
        <v>2.2200000000000002</v>
      </c>
      <c r="G49" s="10">
        <v>9.41</v>
      </c>
      <c r="H49" s="10">
        <v>3.62</v>
      </c>
    </row>
    <row r="50" spans="1:8" x14ac:dyDescent="0.15">
      <c r="A50" s="7" t="s">
        <v>446</v>
      </c>
      <c r="B50" s="9" t="s">
        <v>6</v>
      </c>
      <c r="C50" s="9" t="s">
        <v>6</v>
      </c>
      <c r="D50" s="9" t="s">
        <v>6</v>
      </c>
      <c r="E50" s="9" t="s">
        <v>6</v>
      </c>
      <c r="F50" s="9" t="s">
        <v>6</v>
      </c>
      <c r="G50" s="9" t="s">
        <v>6</v>
      </c>
      <c r="H50" s="9" t="s">
        <v>6</v>
      </c>
    </row>
    <row r="51" spans="1:8" x14ac:dyDescent="0.15">
      <c r="A51" s="7" t="s">
        <v>447</v>
      </c>
      <c r="B51" s="9" t="s">
        <v>6</v>
      </c>
      <c r="C51" s="9" t="s">
        <v>6</v>
      </c>
      <c r="D51" s="9" t="s">
        <v>6</v>
      </c>
      <c r="E51" s="9" t="s">
        <v>6</v>
      </c>
      <c r="F51" s="9" t="s">
        <v>6</v>
      </c>
      <c r="G51" s="9" t="s">
        <v>6</v>
      </c>
      <c r="H51" s="9" t="s">
        <v>6</v>
      </c>
    </row>
    <row r="52" spans="1:8" x14ac:dyDescent="0.15">
      <c r="A52" s="7" t="s">
        <v>448</v>
      </c>
      <c r="B52" s="9" t="s">
        <v>6</v>
      </c>
      <c r="C52" s="9" t="s">
        <v>6</v>
      </c>
      <c r="D52" s="9" t="s">
        <v>6</v>
      </c>
      <c r="E52" s="9" t="s">
        <v>6</v>
      </c>
      <c r="F52" s="9" t="s">
        <v>6</v>
      </c>
      <c r="G52" s="9" t="s">
        <v>6</v>
      </c>
      <c r="H52" s="9" t="s">
        <v>6</v>
      </c>
    </row>
    <row r="53" spans="1:8" x14ac:dyDescent="0.15">
      <c r="A53" s="7" t="s">
        <v>449</v>
      </c>
      <c r="B53" s="9" t="s">
        <v>6</v>
      </c>
      <c r="C53" s="9" t="s">
        <v>6</v>
      </c>
      <c r="D53" s="10">
        <v>0.05</v>
      </c>
      <c r="E53" s="10">
        <v>1.31</v>
      </c>
      <c r="F53" s="10">
        <v>0.73</v>
      </c>
      <c r="G53" s="10">
        <v>10.39</v>
      </c>
      <c r="H53" s="10">
        <v>14.56</v>
      </c>
    </row>
    <row r="54" spans="1:8" x14ac:dyDescent="0.15">
      <c r="A54" s="7" t="s">
        <v>450</v>
      </c>
      <c r="B54" s="10">
        <v>0.57999999999999996</v>
      </c>
      <c r="C54" s="9" t="s">
        <v>6</v>
      </c>
      <c r="D54" s="10">
        <v>0.35</v>
      </c>
      <c r="E54" s="10">
        <v>1.77</v>
      </c>
      <c r="F54" s="10">
        <v>-0.39</v>
      </c>
      <c r="G54" s="10">
        <v>-5.1100000000000003</v>
      </c>
      <c r="H54" s="10">
        <v>-1.1200000000000001</v>
      </c>
    </row>
    <row r="55" spans="1:8" x14ac:dyDescent="0.15">
      <c r="A55" s="7" t="s">
        <v>451</v>
      </c>
      <c r="B55" s="9" t="s">
        <v>6</v>
      </c>
      <c r="C55" s="9" t="s">
        <v>6</v>
      </c>
      <c r="D55" s="9" t="s">
        <v>6</v>
      </c>
      <c r="E55" s="9" t="s">
        <v>6</v>
      </c>
      <c r="F55" s="9" t="s">
        <v>6</v>
      </c>
      <c r="G55" s="9" t="s">
        <v>6</v>
      </c>
      <c r="H55" s="9" t="s">
        <v>6</v>
      </c>
    </row>
    <row r="56" spans="1:8" x14ac:dyDescent="0.15">
      <c r="A56" s="7" t="s">
        <v>452</v>
      </c>
      <c r="B56" s="9" t="s">
        <v>6</v>
      </c>
      <c r="C56" s="9" t="s">
        <v>6</v>
      </c>
      <c r="D56" s="9" t="s">
        <v>6</v>
      </c>
      <c r="E56" s="9" t="s">
        <v>6</v>
      </c>
      <c r="F56" s="9" t="s">
        <v>6</v>
      </c>
      <c r="G56" s="9" t="s">
        <v>6</v>
      </c>
      <c r="H56" s="9" t="s">
        <v>6</v>
      </c>
    </row>
    <row r="57" spans="1:8" x14ac:dyDescent="0.15">
      <c r="A57" s="7" t="s">
        <v>453</v>
      </c>
      <c r="B57" s="10">
        <v>0.83</v>
      </c>
      <c r="C57" s="9" t="s">
        <v>6</v>
      </c>
      <c r="D57" s="10">
        <v>1.31</v>
      </c>
      <c r="E57" s="9" t="s">
        <v>6</v>
      </c>
      <c r="F57" s="10">
        <v>9.07</v>
      </c>
      <c r="G57" s="10">
        <v>35.58</v>
      </c>
      <c r="H57" s="10">
        <v>6.93</v>
      </c>
    </row>
    <row r="58" spans="1:8" x14ac:dyDescent="0.15">
      <c r="A58" s="7" t="s">
        <v>454</v>
      </c>
      <c r="B58" s="9" t="s">
        <v>6</v>
      </c>
      <c r="C58" s="9" t="s">
        <v>6</v>
      </c>
      <c r="D58" s="9" t="s">
        <v>6</v>
      </c>
      <c r="E58" s="9" t="s">
        <v>6</v>
      </c>
      <c r="F58" s="9" t="s">
        <v>6</v>
      </c>
      <c r="G58" s="9" t="s">
        <v>6</v>
      </c>
      <c r="H58" s="9" t="s">
        <v>6</v>
      </c>
    </row>
    <row r="59" spans="1:8" x14ac:dyDescent="0.15">
      <c r="A59" s="7" t="s">
        <v>455</v>
      </c>
      <c r="B59" s="9" t="s">
        <v>6</v>
      </c>
      <c r="C59" s="9" t="s">
        <v>6</v>
      </c>
      <c r="D59" s="9" t="s">
        <v>6</v>
      </c>
      <c r="E59" s="9" t="s">
        <v>6</v>
      </c>
      <c r="F59" s="9" t="s">
        <v>6</v>
      </c>
      <c r="G59" s="9" t="s">
        <v>6</v>
      </c>
      <c r="H59" s="9" t="s">
        <v>6</v>
      </c>
    </row>
    <row r="60" spans="1:8" x14ac:dyDescent="0.15">
      <c r="A60" s="7" t="s">
        <v>456</v>
      </c>
      <c r="B60" s="9" t="s">
        <v>6</v>
      </c>
      <c r="C60" s="9" t="s">
        <v>6</v>
      </c>
      <c r="D60" s="9" t="s">
        <v>6</v>
      </c>
      <c r="E60" s="9" t="s">
        <v>6</v>
      </c>
      <c r="F60" s="9" t="s">
        <v>6</v>
      </c>
      <c r="G60" s="9" t="s">
        <v>6</v>
      </c>
      <c r="H60" s="9" t="s">
        <v>6</v>
      </c>
    </row>
    <row r="61" spans="1:8" x14ac:dyDescent="0.15">
      <c r="A61" s="7" t="s">
        <v>122</v>
      </c>
      <c r="B61" s="10">
        <v>1.05</v>
      </c>
      <c r="C61" s="9" t="s">
        <v>6</v>
      </c>
      <c r="D61" s="10">
        <v>0.68</v>
      </c>
      <c r="E61" s="10">
        <v>3.52</v>
      </c>
      <c r="F61" s="10">
        <v>5.89</v>
      </c>
      <c r="G61" s="10">
        <v>40.659999999999997</v>
      </c>
      <c r="H61" s="10">
        <v>8.73</v>
      </c>
    </row>
    <row r="62" spans="1:8" x14ac:dyDescent="0.15">
      <c r="A62" s="7" t="s">
        <v>457</v>
      </c>
      <c r="B62" s="9" t="s">
        <v>6</v>
      </c>
      <c r="C62" s="9" t="s">
        <v>6</v>
      </c>
      <c r="D62" s="9" t="s">
        <v>6</v>
      </c>
      <c r="E62" s="9" t="s">
        <v>6</v>
      </c>
      <c r="F62" s="9" t="s">
        <v>6</v>
      </c>
      <c r="G62" s="9" t="s">
        <v>6</v>
      </c>
      <c r="H62" s="9" t="s">
        <v>6</v>
      </c>
    </row>
    <row r="63" spans="1:8" x14ac:dyDescent="0.15">
      <c r="A63" s="7" t="s">
        <v>458</v>
      </c>
      <c r="B63" s="9" t="s">
        <v>6</v>
      </c>
      <c r="C63" s="9" t="s">
        <v>6</v>
      </c>
      <c r="D63" s="9" t="s">
        <v>6</v>
      </c>
      <c r="E63" s="9" t="s">
        <v>6</v>
      </c>
      <c r="F63" s="9" t="s">
        <v>6</v>
      </c>
      <c r="G63" s="9" t="s">
        <v>6</v>
      </c>
      <c r="H63" s="9" t="s">
        <v>6</v>
      </c>
    </row>
    <row r="64" spans="1:8" x14ac:dyDescent="0.15">
      <c r="A64" s="7" t="s">
        <v>459</v>
      </c>
      <c r="B64" s="9" t="s">
        <v>6</v>
      </c>
      <c r="C64" s="9" t="s">
        <v>6</v>
      </c>
      <c r="D64" s="9" t="s">
        <v>6</v>
      </c>
      <c r="E64" s="9" t="s">
        <v>6</v>
      </c>
      <c r="F64" s="9" t="s">
        <v>6</v>
      </c>
      <c r="G64" s="9" t="s">
        <v>6</v>
      </c>
      <c r="H64" s="9" t="s">
        <v>6</v>
      </c>
    </row>
    <row r="65" spans="1:8" x14ac:dyDescent="0.15">
      <c r="A65" s="7" t="s">
        <v>460</v>
      </c>
      <c r="B65" s="9" t="s">
        <v>6</v>
      </c>
      <c r="C65" s="9" t="s">
        <v>6</v>
      </c>
      <c r="D65" s="9" t="s">
        <v>6</v>
      </c>
      <c r="E65" s="9" t="s">
        <v>6</v>
      </c>
      <c r="F65" s="9" t="s">
        <v>6</v>
      </c>
      <c r="G65" s="9" t="s">
        <v>6</v>
      </c>
      <c r="H65" s="9" t="s">
        <v>6</v>
      </c>
    </row>
    <row r="66" spans="1:8" x14ac:dyDescent="0.15">
      <c r="A66" s="7" t="s">
        <v>461</v>
      </c>
      <c r="B66" s="9" t="s">
        <v>6</v>
      </c>
      <c r="C66" s="9" t="s">
        <v>6</v>
      </c>
      <c r="D66" s="9" t="s">
        <v>6</v>
      </c>
      <c r="E66" s="9" t="s">
        <v>6</v>
      </c>
      <c r="F66" s="9" t="s">
        <v>6</v>
      </c>
      <c r="G66" s="9" t="s">
        <v>6</v>
      </c>
      <c r="H66" s="9" t="s">
        <v>6</v>
      </c>
    </row>
    <row r="67" spans="1:8" x14ac:dyDescent="0.15">
      <c r="A67" s="7" t="s">
        <v>462</v>
      </c>
      <c r="B67" s="10">
        <v>0.38</v>
      </c>
      <c r="C67" s="10">
        <v>51.41</v>
      </c>
      <c r="D67" s="10">
        <v>1.41</v>
      </c>
      <c r="E67" s="10">
        <v>0.53</v>
      </c>
      <c r="F67" s="10">
        <v>5.34</v>
      </c>
      <c r="G67" s="10">
        <v>11.36</v>
      </c>
      <c r="H67" s="10">
        <v>3.79</v>
      </c>
    </row>
    <row r="68" spans="1:8" x14ac:dyDescent="0.15">
      <c r="A68" s="7" t="s">
        <v>463</v>
      </c>
      <c r="B68" s="9" t="s">
        <v>6</v>
      </c>
      <c r="C68" s="9" t="s">
        <v>6</v>
      </c>
      <c r="D68" s="9" t="s">
        <v>6</v>
      </c>
      <c r="E68" s="9" t="s">
        <v>6</v>
      </c>
      <c r="F68" s="9" t="s">
        <v>6</v>
      </c>
      <c r="G68" s="9" t="s">
        <v>6</v>
      </c>
      <c r="H68" s="9" t="s">
        <v>465</v>
      </c>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17"/>
  <sheetViews>
    <sheetView workbookViewId="0">
      <selection activeCell="G15" sqref="G15"/>
    </sheetView>
  </sheetViews>
  <sheetFormatPr baseColWidth="10" defaultColWidth="9.1640625" defaultRowHeight="15" x14ac:dyDescent="0.2"/>
  <cols>
    <col min="1" max="1" width="21" style="214" customWidth="1"/>
    <col min="2" max="2" width="17.1640625" style="214" customWidth="1"/>
    <col min="3" max="3" width="3.1640625" style="214" customWidth="1"/>
    <col min="4" max="5" width="15.5" style="214" customWidth="1"/>
    <col min="6" max="6" width="3.1640625" style="214" customWidth="1"/>
    <col min="7" max="7" width="17.5" style="214" customWidth="1"/>
    <col min="8" max="8" width="9.5" style="214" bestFit="1" customWidth="1"/>
    <col min="9" max="16384" width="9.1640625" style="214"/>
  </cols>
  <sheetData>
    <row r="1" spans="1:8" x14ac:dyDescent="0.2">
      <c r="A1" s="212" t="s">
        <v>518</v>
      </c>
      <c r="B1" s="213" t="s">
        <v>542</v>
      </c>
    </row>
    <row r="2" spans="1:8" x14ac:dyDescent="0.2">
      <c r="A2" s="212"/>
    </row>
    <row r="3" spans="1:8" x14ac:dyDescent="0.2">
      <c r="B3" s="215" t="s">
        <v>519</v>
      </c>
      <c r="C3" s="216"/>
      <c r="D3" s="215"/>
      <c r="E3" s="215"/>
      <c r="F3" s="212"/>
      <c r="G3" s="215" t="s">
        <v>520</v>
      </c>
      <c r="H3" s="217"/>
    </row>
    <row r="4" spans="1:8" x14ac:dyDescent="0.2">
      <c r="B4" s="218">
        <v>43830</v>
      </c>
      <c r="C4" s="218"/>
      <c r="D4" s="218"/>
      <c r="E4" s="218"/>
      <c r="F4" s="218"/>
      <c r="G4" s="218">
        <v>43830</v>
      </c>
      <c r="H4" s="219"/>
    </row>
    <row r="5" spans="1:8" x14ac:dyDescent="0.2">
      <c r="A5" s="214" t="s">
        <v>521</v>
      </c>
      <c r="B5" s="220">
        <v>12067</v>
      </c>
      <c r="C5" s="220"/>
      <c r="D5" s="220"/>
      <c r="E5" s="220"/>
      <c r="F5" s="220"/>
      <c r="G5" s="220">
        <f>B5</f>
        <v>12067</v>
      </c>
    </row>
    <row r="6" spans="1:8" x14ac:dyDescent="0.2">
      <c r="A6" s="214" t="s">
        <v>27</v>
      </c>
      <c r="B6" s="220">
        <v>903</v>
      </c>
      <c r="C6" s="220"/>
      <c r="D6" s="220"/>
      <c r="E6" s="220"/>
      <c r="F6" s="220"/>
      <c r="G6" s="220">
        <f>B6</f>
        <v>903</v>
      </c>
    </row>
    <row r="7" spans="1:8" x14ac:dyDescent="0.2">
      <c r="A7" s="214" t="s">
        <v>522</v>
      </c>
      <c r="B7" s="220">
        <f>B6+712+241+198</f>
        <v>2054</v>
      </c>
      <c r="C7" s="220"/>
      <c r="D7" s="220"/>
      <c r="E7" s="220"/>
      <c r="F7" s="220"/>
      <c r="G7" s="220">
        <f>B7</f>
        <v>2054</v>
      </c>
    </row>
    <row r="9" spans="1:8" x14ac:dyDescent="0.2">
      <c r="G9" s="215" t="s">
        <v>523</v>
      </c>
      <c r="H9" s="217"/>
    </row>
    <row r="10" spans="1:8" x14ac:dyDescent="0.2">
      <c r="G10" s="218">
        <v>43830</v>
      </c>
      <c r="H10" s="219"/>
    </row>
    <row r="11" spans="1:8" x14ac:dyDescent="0.2">
      <c r="A11" s="214" t="s">
        <v>524</v>
      </c>
      <c r="G11" s="220">
        <v>1376</v>
      </c>
      <c r="H11" s="220"/>
    </row>
    <row r="12" spans="1:8" x14ac:dyDescent="0.2">
      <c r="A12" s="214" t="s">
        <v>525</v>
      </c>
      <c r="G12" s="220">
        <v>0</v>
      </c>
      <c r="H12" s="220"/>
    </row>
    <row r="13" spans="1:8" x14ac:dyDescent="0.2">
      <c r="A13" s="214" t="s">
        <v>526</v>
      </c>
      <c r="G13" s="220">
        <v>1569</v>
      </c>
      <c r="H13" s="220"/>
    </row>
    <row r="14" spans="1:8" x14ac:dyDescent="0.2">
      <c r="G14" s="220"/>
      <c r="H14" s="220"/>
    </row>
    <row r="15" spans="1:8" x14ac:dyDescent="0.2">
      <c r="A15" s="214" t="s">
        <v>527</v>
      </c>
      <c r="G15" s="220">
        <v>4094</v>
      </c>
      <c r="H15" s="220"/>
    </row>
    <row r="16" spans="1:8" x14ac:dyDescent="0.2">
      <c r="A16" s="214" t="s">
        <v>528</v>
      </c>
      <c r="G16" s="220">
        <v>21416</v>
      </c>
      <c r="H16" s="220"/>
    </row>
    <row r="17" spans="2:2" x14ac:dyDescent="0.2">
      <c r="B17" s="220"/>
    </row>
  </sheetData>
  <pageMargins left="0.7" right="0.7" top="0.75" bottom="0.75" header="0.3" footer="0.3"/>
  <pageSetup orientation="portrait" horizontalDpi="90" verticalDpi="90" r:id="rId1"/>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17"/>
  <sheetViews>
    <sheetView workbookViewId="0">
      <selection activeCell="G12" sqref="G12"/>
    </sheetView>
  </sheetViews>
  <sheetFormatPr baseColWidth="10" defaultColWidth="9.1640625" defaultRowHeight="15" x14ac:dyDescent="0.2"/>
  <cols>
    <col min="1" max="1" width="21" style="214" customWidth="1"/>
    <col min="2" max="2" width="17.1640625" style="214" customWidth="1"/>
    <col min="3" max="3" width="3.1640625" style="214" customWidth="1"/>
    <col min="4" max="5" width="15.5" style="214" customWidth="1"/>
    <col min="6" max="6" width="3.1640625" style="214" customWidth="1"/>
    <col min="7" max="7" width="17.5" style="214" customWidth="1"/>
    <col min="8" max="8" width="9.5" style="214" bestFit="1" customWidth="1"/>
    <col min="9" max="16384" width="9.1640625" style="214"/>
  </cols>
  <sheetData>
    <row r="1" spans="1:8" x14ac:dyDescent="0.2">
      <c r="A1" s="212" t="s">
        <v>518</v>
      </c>
      <c r="B1" s="213" t="s">
        <v>121</v>
      </c>
    </row>
    <row r="2" spans="1:8" x14ac:dyDescent="0.2">
      <c r="A2" s="212"/>
    </row>
    <row r="3" spans="1:8" x14ac:dyDescent="0.2">
      <c r="B3" s="215" t="s">
        <v>519</v>
      </c>
      <c r="C3" s="216"/>
      <c r="D3" s="215"/>
      <c r="E3" s="215"/>
      <c r="F3" s="212"/>
      <c r="G3" s="215" t="s">
        <v>520</v>
      </c>
      <c r="H3" s="217"/>
    </row>
    <row r="4" spans="1:8" x14ac:dyDescent="0.2">
      <c r="B4" s="218">
        <v>43830</v>
      </c>
      <c r="C4" s="218"/>
      <c r="D4" s="218"/>
      <c r="E4" s="218"/>
      <c r="F4" s="218"/>
      <c r="G4" s="218">
        <v>43830</v>
      </c>
      <c r="H4" s="219"/>
    </row>
    <row r="5" spans="1:8" x14ac:dyDescent="0.2">
      <c r="A5" s="214" t="s">
        <v>521</v>
      </c>
      <c r="B5" s="220">
        <v>15066</v>
      </c>
      <c r="C5" s="220"/>
      <c r="D5" s="220"/>
      <c r="E5" s="220"/>
      <c r="F5" s="220"/>
      <c r="G5" s="220">
        <f>B5</f>
        <v>15066</v>
      </c>
    </row>
    <row r="6" spans="1:8" x14ac:dyDescent="0.2">
      <c r="A6" s="214" t="s">
        <v>27</v>
      </c>
      <c r="B6" s="220">
        <v>5345</v>
      </c>
      <c r="C6" s="220"/>
      <c r="D6" s="220"/>
      <c r="E6" s="220"/>
      <c r="F6" s="220"/>
      <c r="G6" s="220">
        <f>B6</f>
        <v>5345</v>
      </c>
    </row>
    <row r="7" spans="1:8" x14ac:dyDescent="0.2">
      <c r="A7" s="214" t="s">
        <v>522</v>
      </c>
      <c r="B7" s="220">
        <f>B6+469</f>
        <v>5814</v>
      </c>
      <c r="C7" s="220"/>
      <c r="D7" s="220"/>
      <c r="E7" s="220"/>
      <c r="F7" s="220"/>
      <c r="G7" s="220">
        <f>B7</f>
        <v>5814</v>
      </c>
    </row>
    <row r="9" spans="1:8" x14ac:dyDescent="0.2">
      <c r="G9" s="215" t="s">
        <v>523</v>
      </c>
      <c r="H9" s="217"/>
    </row>
    <row r="10" spans="1:8" x14ac:dyDescent="0.2">
      <c r="G10" s="218">
        <v>43830</v>
      </c>
      <c r="H10" s="219"/>
    </row>
    <row r="11" spans="1:8" x14ac:dyDescent="0.2">
      <c r="A11" s="214" t="s">
        <v>524</v>
      </c>
      <c r="G11" s="220">
        <v>792</v>
      </c>
      <c r="H11" s="220"/>
    </row>
    <row r="12" spans="1:8" x14ac:dyDescent="0.2">
      <c r="A12" s="214" t="s">
        <v>525</v>
      </c>
      <c r="G12" s="220">
        <v>0</v>
      </c>
      <c r="H12" s="220"/>
    </row>
    <row r="13" spans="1:8" x14ac:dyDescent="0.2">
      <c r="A13" s="214" t="s">
        <v>526</v>
      </c>
      <c r="G13" s="220">
        <v>0</v>
      </c>
      <c r="H13" s="220"/>
    </row>
    <row r="14" spans="1:8" x14ac:dyDescent="0.2">
      <c r="G14" s="220"/>
      <c r="H14" s="220"/>
    </row>
    <row r="15" spans="1:8" x14ac:dyDescent="0.2">
      <c r="A15" s="214" t="s">
        <v>527</v>
      </c>
      <c r="G15" s="220">
        <v>7310</v>
      </c>
      <c r="H15" s="220"/>
    </row>
    <row r="16" spans="1:8" x14ac:dyDescent="0.2">
      <c r="A16" s="214" t="s">
        <v>528</v>
      </c>
      <c r="G16" s="220">
        <v>21402</v>
      </c>
      <c r="H16" s="220"/>
    </row>
    <row r="17" spans="2:2" x14ac:dyDescent="0.2">
      <c r="B17" s="220"/>
    </row>
  </sheetData>
  <pageMargins left="0.7" right="0.7" top="0.75" bottom="0.75" header="0.3" footer="0.3"/>
  <pageSetup orientation="portrait" horizontalDpi="90" verticalDpi="90" r:id="rId1"/>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17"/>
  <sheetViews>
    <sheetView workbookViewId="0">
      <selection activeCell="H23" sqref="H23"/>
    </sheetView>
  </sheetViews>
  <sheetFormatPr baseColWidth="10" defaultColWidth="9.1640625" defaultRowHeight="15" x14ac:dyDescent="0.2"/>
  <cols>
    <col min="1" max="1" width="21" style="214" customWidth="1"/>
    <col min="2" max="2" width="17.1640625" style="214" customWidth="1"/>
    <col min="3" max="3" width="3.1640625" style="214" customWidth="1"/>
    <col min="4" max="5" width="15.5" style="214" customWidth="1"/>
    <col min="6" max="6" width="3.1640625" style="214" customWidth="1"/>
    <col min="7" max="7" width="17.5" style="214" customWidth="1"/>
    <col min="8" max="8" width="9.5" style="214" bestFit="1" customWidth="1"/>
    <col min="9" max="16384" width="9.1640625" style="214"/>
  </cols>
  <sheetData>
    <row r="1" spans="1:8" x14ac:dyDescent="0.2">
      <c r="A1" s="212" t="s">
        <v>518</v>
      </c>
      <c r="B1" s="213" t="s">
        <v>121</v>
      </c>
    </row>
    <row r="2" spans="1:8" x14ac:dyDescent="0.2">
      <c r="A2" s="212"/>
    </row>
    <row r="3" spans="1:8" x14ac:dyDescent="0.2">
      <c r="B3" s="215" t="s">
        <v>519</v>
      </c>
      <c r="C3" s="216"/>
      <c r="D3" s="215"/>
      <c r="E3" s="215"/>
      <c r="F3" s="212"/>
      <c r="G3" s="215" t="s">
        <v>520</v>
      </c>
      <c r="H3" s="217"/>
    </row>
    <row r="4" spans="1:8" x14ac:dyDescent="0.2">
      <c r="B4" s="218">
        <v>43830</v>
      </c>
      <c r="C4" s="218"/>
      <c r="D4" s="218"/>
      <c r="E4" s="218"/>
      <c r="F4" s="218"/>
      <c r="G4" s="218">
        <v>43830</v>
      </c>
      <c r="H4" s="219"/>
    </row>
    <row r="5" spans="1:8" x14ac:dyDescent="0.2">
      <c r="A5" s="214" t="s">
        <v>521</v>
      </c>
      <c r="B5" s="220">
        <v>1560</v>
      </c>
      <c r="C5" s="220"/>
      <c r="D5" s="220"/>
      <c r="E5" s="220"/>
      <c r="F5" s="220"/>
      <c r="G5" s="220">
        <f>B5</f>
        <v>1560</v>
      </c>
    </row>
    <row r="6" spans="1:8" x14ac:dyDescent="0.2">
      <c r="A6" s="214" t="s">
        <v>27</v>
      </c>
      <c r="B6" s="220">
        <v>187</v>
      </c>
      <c r="C6" s="220"/>
      <c r="D6" s="220"/>
      <c r="E6" s="220"/>
      <c r="F6" s="220"/>
      <c r="G6" s="220">
        <f>B6</f>
        <v>187</v>
      </c>
    </row>
    <row r="7" spans="1:8" x14ac:dyDescent="0.2">
      <c r="A7" s="214" t="s">
        <v>522</v>
      </c>
      <c r="B7" s="220">
        <f>B6+93</f>
        <v>280</v>
      </c>
      <c r="C7" s="220"/>
      <c r="D7" s="220"/>
      <c r="E7" s="220"/>
      <c r="F7" s="220"/>
      <c r="G7" s="220">
        <f>B7</f>
        <v>280</v>
      </c>
    </row>
    <row r="9" spans="1:8" x14ac:dyDescent="0.2">
      <c r="G9" s="215" t="s">
        <v>523</v>
      </c>
      <c r="H9" s="217"/>
    </row>
    <row r="10" spans="1:8" x14ac:dyDescent="0.2">
      <c r="G10" s="218">
        <v>43830</v>
      </c>
      <c r="H10" s="219"/>
    </row>
    <row r="11" spans="1:8" x14ac:dyDescent="0.2">
      <c r="A11" s="214" t="s">
        <v>524</v>
      </c>
      <c r="G11" s="222">
        <f>0-319</f>
        <v>-319</v>
      </c>
      <c r="H11" s="220"/>
    </row>
    <row r="12" spans="1:8" x14ac:dyDescent="0.2">
      <c r="A12" s="214" t="s">
        <v>525</v>
      </c>
      <c r="G12" s="220">
        <v>0</v>
      </c>
      <c r="H12" s="220"/>
    </row>
    <row r="13" spans="1:8" x14ac:dyDescent="0.2">
      <c r="A13" s="214" t="s">
        <v>526</v>
      </c>
      <c r="G13" s="220">
        <v>0</v>
      </c>
      <c r="H13" s="220"/>
    </row>
    <row r="14" spans="1:8" x14ac:dyDescent="0.2">
      <c r="G14" s="220"/>
      <c r="H14" s="220"/>
    </row>
    <row r="15" spans="1:8" x14ac:dyDescent="0.2">
      <c r="A15" s="214" t="s">
        <v>527</v>
      </c>
      <c r="G15" s="220">
        <v>319</v>
      </c>
      <c r="H15" s="220"/>
    </row>
    <row r="16" spans="1:8" x14ac:dyDescent="0.2">
      <c r="A16" s="214" t="s">
        <v>528</v>
      </c>
      <c r="G16" s="220">
        <v>1984</v>
      </c>
      <c r="H16" s="220"/>
    </row>
    <row r="17" spans="2:2" x14ac:dyDescent="0.2">
      <c r="B17" s="220"/>
    </row>
  </sheetData>
  <pageMargins left="0.7" right="0.7" top="0.75" bottom="0.75" header="0.3" footer="0.3"/>
  <pageSetup orientation="portrait" horizontalDpi="90" verticalDpi="90" r:id="rId1"/>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17"/>
  <sheetViews>
    <sheetView workbookViewId="0">
      <selection activeCell="G17" sqref="G17"/>
    </sheetView>
  </sheetViews>
  <sheetFormatPr baseColWidth="10" defaultColWidth="9.1640625" defaultRowHeight="15" x14ac:dyDescent="0.2"/>
  <cols>
    <col min="1" max="1" width="21" style="214" customWidth="1"/>
    <col min="2" max="2" width="17.1640625" style="214" customWidth="1"/>
    <col min="3" max="3" width="3.1640625" style="214" customWidth="1"/>
    <col min="4" max="5" width="15.5" style="214" customWidth="1"/>
    <col min="6" max="6" width="3.1640625" style="214" customWidth="1"/>
    <col min="7" max="7" width="17.5" style="214" customWidth="1"/>
    <col min="8" max="8" width="9.5" style="214" bestFit="1" customWidth="1"/>
    <col min="9" max="16384" width="9.1640625" style="214"/>
  </cols>
  <sheetData>
    <row r="1" spans="1:8" x14ac:dyDescent="0.2">
      <c r="A1" s="212" t="s">
        <v>518</v>
      </c>
      <c r="B1" s="213" t="s">
        <v>123</v>
      </c>
    </row>
    <row r="2" spans="1:8" x14ac:dyDescent="0.2">
      <c r="A2" s="212"/>
    </row>
    <row r="3" spans="1:8" x14ac:dyDescent="0.2">
      <c r="B3" s="215" t="s">
        <v>519</v>
      </c>
      <c r="C3" s="216"/>
      <c r="D3" s="215"/>
      <c r="E3" s="215"/>
      <c r="F3" s="212"/>
      <c r="G3" s="215" t="s">
        <v>520</v>
      </c>
      <c r="H3" s="217"/>
    </row>
    <row r="4" spans="1:8" x14ac:dyDescent="0.2">
      <c r="B4" s="218">
        <v>43830</v>
      </c>
      <c r="C4" s="218"/>
      <c r="D4" s="218"/>
      <c r="E4" s="218"/>
      <c r="F4" s="218"/>
      <c r="G4" s="218">
        <v>43830</v>
      </c>
      <c r="H4" s="219"/>
    </row>
    <row r="5" spans="1:8" x14ac:dyDescent="0.2">
      <c r="A5" s="214" t="s">
        <v>521</v>
      </c>
      <c r="B5" s="220">
        <v>3974.998</v>
      </c>
      <c r="C5" s="220"/>
      <c r="D5" s="220"/>
      <c r="E5" s="220"/>
      <c r="F5" s="220"/>
      <c r="G5" s="220">
        <f>B5</f>
        <v>3974.998</v>
      </c>
    </row>
    <row r="6" spans="1:8" x14ac:dyDescent="0.2">
      <c r="A6" s="214" t="s">
        <v>27</v>
      </c>
      <c r="B6" s="220">
        <v>363.41699999999997</v>
      </c>
      <c r="C6" s="220"/>
      <c r="D6" s="220"/>
      <c r="E6" s="220"/>
      <c r="F6" s="220"/>
      <c r="G6" s="220">
        <f>B6</f>
        <v>363.41699999999997</v>
      </c>
    </row>
    <row r="7" spans="1:8" x14ac:dyDescent="0.2">
      <c r="A7" s="214" t="s">
        <v>522</v>
      </c>
      <c r="B7" s="220">
        <f>B6+414.621</f>
        <v>778.03800000000001</v>
      </c>
      <c r="C7" s="220"/>
      <c r="D7" s="220"/>
      <c r="E7" s="220"/>
      <c r="F7" s="220"/>
      <c r="G7" s="220">
        <f>B7</f>
        <v>778.03800000000001</v>
      </c>
    </row>
    <row r="9" spans="1:8" x14ac:dyDescent="0.2">
      <c r="G9" s="215" t="s">
        <v>523</v>
      </c>
      <c r="H9" s="217"/>
    </row>
    <row r="10" spans="1:8" x14ac:dyDescent="0.2">
      <c r="G10" s="218">
        <v>43830</v>
      </c>
      <c r="H10" s="219"/>
    </row>
    <row r="11" spans="1:8" x14ac:dyDescent="0.2">
      <c r="A11" s="214" t="s">
        <v>524</v>
      </c>
      <c r="G11" s="222">
        <v>2907.26</v>
      </c>
      <c r="H11" s="220"/>
    </row>
    <row r="12" spans="1:8" x14ac:dyDescent="0.2">
      <c r="A12" s="214" t="s">
        <v>525</v>
      </c>
      <c r="G12" s="220">
        <v>0</v>
      </c>
      <c r="H12" s="220"/>
    </row>
    <row r="13" spans="1:8" x14ac:dyDescent="0.2">
      <c r="A13" s="214" t="s">
        <v>526</v>
      </c>
      <c r="G13" s="220">
        <v>8.58</v>
      </c>
      <c r="H13" s="220"/>
    </row>
    <row r="14" spans="1:8" x14ac:dyDescent="0.2">
      <c r="G14" s="220"/>
      <c r="H14" s="220"/>
    </row>
    <row r="15" spans="1:8" x14ac:dyDescent="0.2">
      <c r="A15" s="214" t="s">
        <v>527</v>
      </c>
      <c r="G15" s="220">
        <v>436.17599999999999</v>
      </c>
      <c r="H15" s="220"/>
    </row>
    <row r="16" spans="1:8" x14ac:dyDescent="0.2">
      <c r="A16" s="214" t="s">
        <v>528</v>
      </c>
      <c r="G16" s="220">
        <v>5689.9570000000003</v>
      </c>
      <c r="H16" s="220"/>
    </row>
    <row r="17" spans="2:2" x14ac:dyDescent="0.2">
      <c r="B17" s="220"/>
    </row>
  </sheetData>
  <pageMargins left="0.7" right="0.7" top="0.75" bottom="0.75" header="0.3" footer="0.3"/>
  <pageSetup orientation="portrait" horizontalDpi="90" verticalDpi="90" r:id="rId1"/>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17"/>
  <sheetViews>
    <sheetView workbookViewId="0">
      <selection activeCell="G17" sqref="G17"/>
    </sheetView>
  </sheetViews>
  <sheetFormatPr baseColWidth="10" defaultColWidth="9.1640625" defaultRowHeight="15" x14ac:dyDescent="0.2"/>
  <cols>
    <col min="1" max="1" width="21" style="214" customWidth="1"/>
    <col min="2" max="2" width="17.1640625" style="214" customWidth="1"/>
    <col min="3" max="3" width="3.1640625" style="214" customWidth="1"/>
    <col min="4" max="5" width="15.5" style="214" customWidth="1"/>
    <col min="6" max="6" width="3.1640625" style="214" customWidth="1"/>
    <col min="7" max="7" width="17.5" style="214" customWidth="1"/>
    <col min="8" max="8" width="9.5" style="214" bestFit="1" customWidth="1"/>
    <col min="9" max="16384" width="9.1640625" style="214"/>
  </cols>
  <sheetData>
    <row r="1" spans="1:8" x14ac:dyDescent="0.2">
      <c r="A1" s="212" t="s">
        <v>518</v>
      </c>
      <c r="B1" s="213" t="s">
        <v>539</v>
      </c>
    </row>
    <row r="2" spans="1:8" x14ac:dyDescent="0.2">
      <c r="A2" s="212"/>
    </row>
    <row r="3" spans="1:8" x14ac:dyDescent="0.2">
      <c r="B3" s="215" t="s">
        <v>519</v>
      </c>
      <c r="C3" s="216"/>
      <c r="D3" s="215"/>
      <c r="E3" s="215"/>
      <c r="F3" s="212"/>
      <c r="G3" s="215" t="s">
        <v>520</v>
      </c>
      <c r="H3" s="217"/>
    </row>
    <row r="4" spans="1:8" x14ac:dyDescent="0.2">
      <c r="B4" s="218">
        <v>43830</v>
      </c>
      <c r="C4" s="218"/>
      <c r="D4" s="218"/>
      <c r="E4" s="218"/>
      <c r="F4" s="218"/>
      <c r="G4" s="218">
        <v>43830</v>
      </c>
      <c r="H4" s="219"/>
    </row>
    <row r="5" spans="1:8" x14ac:dyDescent="0.2">
      <c r="A5" s="214" t="s">
        <v>521</v>
      </c>
      <c r="B5" s="220">
        <v>20972</v>
      </c>
      <c r="C5" s="220"/>
      <c r="D5" s="220"/>
      <c r="E5" s="220"/>
      <c r="F5" s="220"/>
      <c r="G5" s="220">
        <f>B5</f>
        <v>20972</v>
      </c>
    </row>
    <row r="6" spans="1:8" x14ac:dyDescent="0.2">
      <c r="A6" s="214" t="s">
        <v>27</v>
      </c>
      <c r="B6" s="220">
        <v>1800</v>
      </c>
      <c r="C6" s="220"/>
      <c r="D6" s="220"/>
      <c r="E6" s="220"/>
      <c r="F6" s="220"/>
      <c r="G6" s="220">
        <f>B6</f>
        <v>1800</v>
      </c>
    </row>
    <row r="7" spans="1:8" x14ac:dyDescent="0.2">
      <c r="A7" s="214" t="s">
        <v>522</v>
      </c>
      <c r="B7" s="220">
        <f>B6+403</f>
        <v>2203</v>
      </c>
      <c r="C7" s="220"/>
      <c r="D7" s="220"/>
      <c r="E7" s="220"/>
      <c r="F7" s="220"/>
      <c r="G7" s="220">
        <f>B7</f>
        <v>2203</v>
      </c>
    </row>
    <row r="9" spans="1:8" x14ac:dyDescent="0.2">
      <c r="G9" s="215" t="s">
        <v>523</v>
      </c>
      <c r="H9" s="217"/>
    </row>
    <row r="10" spans="1:8" x14ac:dyDescent="0.2">
      <c r="G10" s="218">
        <v>43830</v>
      </c>
      <c r="H10" s="219"/>
    </row>
    <row r="11" spans="1:8" x14ac:dyDescent="0.2">
      <c r="A11" s="214" t="s">
        <v>524</v>
      </c>
      <c r="G11" s="222">
        <v>11597</v>
      </c>
      <c r="H11" s="220"/>
    </row>
    <row r="12" spans="1:8" x14ac:dyDescent="0.2">
      <c r="A12" s="214" t="s">
        <v>525</v>
      </c>
      <c r="G12" s="220">
        <v>0</v>
      </c>
      <c r="H12" s="220"/>
    </row>
    <row r="13" spans="1:8" x14ac:dyDescent="0.2">
      <c r="A13" s="214" t="s">
        <v>526</v>
      </c>
      <c r="G13" s="220">
        <v>0</v>
      </c>
      <c r="H13" s="220"/>
    </row>
    <row r="14" spans="1:8" x14ac:dyDescent="0.2">
      <c r="G14" s="220"/>
      <c r="H14" s="220"/>
    </row>
    <row r="15" spans="1:8" x14ac:dyDescent="0.2">
      <c r="A15" s="214" t="s">
        <v>527</v>
      </c>
      <c r="G15" s="220">
        <v>225</v>
      </c>
      <c r="H15" s="220"/>
    </row>
    <row r="16" spans="1:8" x14ac:dyDescent="0.2">
      <c r="A16" s="214" t="s">
        <v>528</v>
      </c>
      <c r="G16" s="220">
        <v>25051</v>
      </c>
      <c r="H16" s="220"/>
    </row>
    <row r="17" spans="2:2" x14ac:dyDescent="0.2">
      <c r="B17" s="220"/>
    </row>
  </sheetData>
  <pageMargins left="0.7" right="0.7" top="0.75" bottom="0.75" header="0.3" footer="0.3"/>
  <pageSetup orientation="portrait" horizontalDpi="90" verticalDpi="90" r:id="rId1"/>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17"/>
  <sheetViews>
    <sheetView workbookViewId="0">
      <selection activeCell="G17" sqref="G17"/>
    </sheetView>
  </sheetViews>
  <sheetFormatPr baseColWidth="10" defaultColWidth="9.1640625" defaultRowHeight="15" x14ac:dyDescent="0.2"/>
  <cols>
    <col min="1" max="1" width="21" style="214" customWidth="1"/>
    <col min="2" max="2" width="17.1640625" style="214" customWidth="1"/>
    <col min="3" max="3" width="3.1640625" style="214" customWidth="1"/>
    <col min="4" max="5" width="15.5" style="214" customWidth="1"/>
    <col min="6" max="6" width="3.1640625" style="214" customWidth="1"/>
    <col min="7" max="7" width="17.5" style="214" customWidth="1"/>
    <col min="8" max="8" width="9.5" style="214" bestFit="1" customWidth="1"/>
    <col min="9" max="16384" width="9.1640625" style="214"/>
  </cols>
  <sheetData>
    <row r="1" spans="1:8" x14ac:dyDescent="0.2">
      <c r="A1" s="212" t="s">
        <v>518</v>
      </c>
      <c r="B1" s="213" t="s">
        <v>540</v>
      </c>
    </row>
    <row r="2" spans="1:8" x14ac:dyDescent="0.2">
      <c r="A2" s="212"/>
    </row>
    <row r="3" spans="1:8" x14ac:dyDescent="0.2">
      <c r="B3" s="215" t="s">
        <v>519</v>
      </c>
      <c r="C3" s="216"/>
      <c r="D3" s="215"/>
      <c r="E3" s="215"/>
      <c r="F3" s="212"/>
      <c r="G3" s="215" t="s">
        <v>520</v>
      </c>
      <c r="H3" s="217"/>
    </row>
    <row r="4" spans="1:8" x14ac:dyDescent="0.2">
      <c r="B4" s="218">
        <v>43830</v>
      </c>
      <c r="C4" s="218"/>
      <c r="D4" s="218"/>
      <c r="E4" s="218"/>
      <c r="F4" s="218"/>
      <c r="G4" s="218">
        <v>43830</v>
      </c>
      <c r="H4" s="219"/>
    </row>
    <row r="5" spans="1:8" x14ac:dyDescent="0.2">
      <c r="A5" s="214" t="s">
        <v>521</v>
      </c>
      <c r="B5" s="220">
        <v>9452</v>
      </c>
      <c r="C5" s="220"/>
      <c r="D5" s="220"/>
      <c r="E5" s="220"/>
      <c r="F5" s="220"/>
      <c r="G5" s="220">
        <f>B5</f>
        <v>9452</v>
      </c>
    </row>
    <row r="6" spans="1:8" x14ac:dyDescent="0.2">
      <c r="A6" s="214" t="s">
        <v>27</v>
      </c>
      <c r="B6" s="220">
        <v>1657</v>
      </c>
      <c r="C6" s="220"/>
      <c r="D6" s="220"/>
      <c r="E6" s="220"/>
      <c r="F6" s="220"/>
      <c r="G6" s="220">
        <f>B6</f>
        <v>1657</v>
      </c>
    </row>
    <row r="7" spans="1:8" x14ac:dyDescent="0.2">
      <c r="A7" s="214" t="s">
        <v>522</v>
      </c>
      <c r="B7" s="220">
        <f>B6+346</f>
        <v>2003</v>
      </c>
      <c r="C7" s="220"/>
      <c r="D7" s="220"/>
      <c r="E7" s="220"/>
      <c r="F7" s="220"/>
      <c r="G7" s="220">
        <f>B7</f>
        <v>2003</v>
      </c>
    </row>
    <row r="9" spans="1:8" x14ac:dyDescent="0.2">
      <c r="G9" s="215" t="s">
        <v>523</v>
      </c>
      <c r="H9" s="217"/>
    </row>
    <row r="10" spans="1:8" x14ac:dyDescent="0.2">
      <c r="G10" s="218">
        <v>43830</v>
      </c>
      <c r="H10" s="219"/>
    </row>
    <row r="11" spans="1:8" x14ac:dyDescent="0.2">
      <c r="A11" s="214" t="s">
        <v>524</v>
      </c>
      <c r="G11" s="222">
        <v>8400</v>
      </c>
      <c r="H11" s="220"/>
    </row>
    <row r="12" spans="1:8" x14ac:dyDescent="0.2">
      <c r="A12" s="214" t="s">
        <v>525</v>
      </c>
      <c r="G12" s="220">
        <v>0</v>
      </c>
      <c r="H12" s="220"/>
    </row>
    <row r="13" spans="1:8" x14ac:dyDescent="0.2">
      <c r="A13" s="214" t="s">
        <v>526</v>
      </c>
      <c r="G13" s="220">
        <v>10</v>
      </c>
      <c r="H13" s="220"/>
    </row>
    <row r="14" spans="1:8" x14ac:dyDescent="0.2">
      <c r="G14" s="220"/>
      <c r="H14" s="220"/>
    </row>
    <row r="15" spans="1:8" x14ac:dyDescent="0.2">
      <c r="A15" s="214" t="s">
        <v>527</v>
      </c>
      <c r="G15" s="220">
        <v>630</v>
      </c>
      <c r="H15" s="220"/>
    </row>
    <row r="16" spans="1:8" x14ac:dyDescent="0.2">
      <c r="A16" s="214" t="s">
        <v>528</v>
      </c>
      <c r="G16" s="220">
        <v>2093</v>
      </c>
      <c r="H16" s="220"/>
    </row>
    <row r="17" spans="2:2" x14ac:dyDescent="0.2">
      <c r="B17" s="220"/>
    </row>
  </sheetData>
  <pageMargins left="0.7" right="0.7" top="0.75" bottom="0.75" header="0.3" footer="0.3"/>
  <pageSetup orientation="portrait" horizontalDpi="90" verticalDpi="90"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17"/>
  <sheetViews>
    <sheetView workbookViewId="0">
      <selection activeCell="G17" sqref="G17"/>
    </sheetView>
  </sheetViews>
  <sheetFormatPr baseColWidth="10" defaultColWidth="9.1640625" defaultRowHeight="15" x14ac:dyDescent="0.2"/>
  <cols>
    <col min="1" max="1" width="21" style="214" customWidth="1"/>
    <col min="2" max="2" width="17.1640625" style="214" customWidth="1"/>
    <col min="3" max="3" width="3.1640625" style="214" customWidth="1"/>
    <col min="4" max="5" width="15.5" style="214" customWidth="1"/>
    <col min="6" max="6" width="3.1640625" style="214" customWidth="1"/>
    <col min="7" max="7" width="17.5" style="214" customWidth="1"/>
    <col min="8" max="8" width="9.5" style="214" bestFit="1" customWidth="1"/>
    <col min="9" max="16384" width="9.1640625" style="214"/>
  </cols>
  <sheetData>
    <row r="1" spans="1:8" x14ac:dyDescent="0.2">
      <c r="A1" s="212" t="s">
        <v>518</v>
      </c>
      <c r="B1" s="213" t="s">
        <v>127</v>
      </c>
    </row>
    <row r="2" spans="1:8" x14ac:dyDescent="0.2">
      <c r="A2" s="212"/>
    </row>
    <row r="3" spans="1:8" x14ac:dyDescent="0.2">
      <c r="B3" s="215" t="s">
        <v>519</v>
      </c>
      <c r="C3" s="216"/>
      <c r="D3" s="215"/>
      <c r="E3" s="215"/>
      <c r="F3" s="212"/>
      <c r="G3" s="215" t="s">
        <v>520</v>
      </c>
      <c r="H3" s="217"/>
    </row>
    <row r="4" spans="1:8" x14ac:dyDescent="0.2">
      <c r="B4" s="218">
        <v>43830</v>
      </c>
      <c r="C4" s="218"/>
      <c r="D4" s="218"/>
      <c r="E4" s="218"/>
      <c r="F4" s="218"/>
      <c r="G4" s="218">
        <v>43830</v>
      </c>
      <c r="H4" s="219"/>
    </row>
    <row r="5" spans="1:8" x14ac:dyDescent="0.2">
      <c r="A5" s="214" t="s">
        <v>521</v>
      </c>
      <c r="B5" s="220">
        <v>5129</v>
      </c>
      <c r="C5" s="220"/>
      <c r="D5" s="220"/>
      <c r="E5" s="220"/>
      <c r="F5" s="220"/>
      <c r="G5" s="220">
        <f>B5</f>
        <v>5129</v>
      </c>
    </row>
    <row r="6" spans="1:8" x14ac:dyDescent="0.2">
      <c r="A6" s="214" t="s">
        <v>27</v>
      </c>
      <c r="B6" s="220">
        <v>723</v>
      </c>
      <c r="C6" s="220"/>
      <c r="D6" s="220"/>
      <c r="E6" s="220"/>
      <c r="F6" s="220"/>
      <c r="G6" s="220">
        <f>B6</f>
        <v>723</v>
      </c>
    </row>
    <row r="7" spans="1:8" x14ac:dyDescent="0.2">
      <c r="A7" s="214" t="s">
        <v>522</v>
      </c>
      <c r="B7" s="220">
        <f>B6+94+63+51</f>
        <v>931</v>
      </c>
      <c r="C7" s="220"/>
      <c r="D7" s="220"/>
      <c r="E7" s="220"/>
      <c r="F7" s="220"/>
      <c r="G7" s="220">
        <f>B7</f>
        <v>931</v>
      </c>
    </row>
    <row r="9" spans="1:8" x14ac:dyDescent="0.2">
      <c r="G9" s="215" t="s">
        <v>523</v>
      </c>
      <c r="H9" s="217"/>
    </row>
    <row r="10" spans="1:8" x14ac:dyDescent="0.2">
      <c r="G10" s="218">
        <v>43830</v>
      </c>
      <c r="H10" s="219"/>
    </row>
    <row r="11" spans="1:8" x14ac:dyDescent="0.2">
      <c r="A11" s="214" t="s">
        <v>524</v>
      </c>
      <c r="G11" s="220">
        <v>4173</v>
      </c>
      <c r="H11" s="220"/>
    </row>
    <row r="12" spans="1:8" x14ac:dyDescent="0.2">
      <c r="A12" s="214" t="s">
        <v>525</v>
      </c>
      <c r="G12" s="220">
        <v>0</v>
      </c>
      <c r="H12" s="220"/>
    </row>
    <row r="13" spans="1:8" x14ac:dyDescent="0.2">
      <c r="A13" s="214" t="s">
        <v>526</v>
      </c>
      <c r="G13" s="220">
        <v>325</v>
      </c>
      <c r="H13" s="220"/>
    </row>
    <row r="14" spans="1:8" x14ac:dyDescent="0.2">
      <c r="G14" s="220"/>
      <c r="H14" s="220"/>
    </row>
    <row r="15" spans="1:8" x14ac:dyDescent="0.2">
      <c r="A15" s="214" t="s">
        <v>527</v>
      </c>
      <c r="G15" s="220">
        <v>3124</v>
      </c>
      <c r="H15" s="220"/>
    </row>
    <row r="16" spans="1:8" x14ac:dyDescent="0.2">
      <c r="A16" s="214" t="s">
        <v>528</v>
      </c>
      <c r="G16" s="220">
        <v>28752</v>
      </c>
      <c r="H16" s="220"/>
    </row>
    <row r="17" spans="2:2" x14ac:dyDescent="0.2">
      <c r="B17" s="220"/>
    </row>
  </sheetData>
  <pageMargins left="0.7" right="0.7" top="0.75" bottom="0.75" header="0.3" footer="0.3"/>
  <pageSetup orientation="portrait" horizontalDpi="90" verticalDpi="90"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D3DF52BC8DC844E80676FC447A25D17" ma:contentTypeVersion="5" ma:contentTypeDescription="Create a new document." ma:contentTypeScope="" ma:versionID="8e87aa494ee49db69c459fa0d1d95c5e">
  <xsd:schema xmlns:xsd="http://www.w3.org/2001/XMLSchema" xmlns:xs="http://www.w3.org/2001/XMLSchema" xmlns:p="http://schemas.microsoft.com/office/2006/metadata/properties" xmlns:ns3="3762aaa1-fc92-413a-88b1-dc56783e148e" xmlns:ns4="35c18a22-1b0e-4fe8-b027-b4c8b49cac5e" targetNamespace="http://schemas.microsoft.com/office/2006/metadata/properties" ma:root="true" ma:fieldsID="c20dd7819ccfd3d4d75e199d927be258" ns3:_="" ns4:_="">
    <xsd:import namespace="3762aaa1-fc92-413a-88b1-dc56783e148e"/>
    <xsd:import namespace="35c18a22-1b0e-4fe8-b027-b4c8b49cac5e"/>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62aaa1-fc92-413a-88b1-dc56783e14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5c18a22-1b0e-4fe8-b027-b4c8b49cac5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C0728B9-0994-4EB9-BE61-FDCE67BC9A58}">
  <ds:schemaRefs>
    <ds:schemaRef ds:uri="http://schemas.microsoft.com/sharepoint/v3/contenttype/forms"/>
  </ds:schemaRefs>
</ds:datastoreItem>
</file>

<file path=customXml/itemProps2.xml><?xml version="1.0" encoding="utf-8"?>
<ds:datastoreItem xmlns:ds="http://schemas.openxmlformats.org/officeDocument/2006/customXml" ds:itemID="{10799CA5-529D-4B8A-A591-CDCE4215B9A1}">
  <ds:schemaRefs>
    <ds:schemaRef ds:uri="http://schemas.microsoft.com/office/2006/documentManagement/types"/>
    <ds:schemaRef ds:uri="http://schemas.microsoft.com/office/2006/metadata/properties"/>
    <ds:schemaRef ds:uri="http://schemas.microsoft.com/office/infopath/2007/PartnerControls"/>
    <ds:schemaRef ds:uri="3762aaa1-fc92-413a-88b1-dc56783e148e"/>
    <ds:schemaRef ds:uri="http://purl.org/dc/elements/1.1/"/>
    <ds:schemaRef ds:uri="http://www.w3.org/XML/1998/namespace"/>
    <ds:schemaRef ds:uri="http://purl.org/dc/dcmitype/"/>
    <ds:schemaRef ds:uri="http://schemas.openxmlformats.org/package/2006/metadata/core-properties"/>
    <ds:schemaRef ds:uri="35c18a22-1b0e-4fe8-b027-b4c8b49cac5e"/>
    <ds:schemaRef ds:uri="http://purl.org/dc/terms/"/>
  </ds:schemaRefs>
</ds:datastoreItem>
</file>

<file path=customXml/itemProps3.xml><?xml version="1.0" encoding="utf-8"?>
<ds:datastoreItem xmlns:ds="http://schemas.openxmlformats.org/officeDocument/2006/customXml" ds:itemID="{9AC13E37-58A3-4063-A920-46C84B95DC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762aaa1-fc92-413a-88b1-dc56783e148e"/>
    <ds:schemaRef ds:uri="35c18a22-1b0e-4fe8-b027-b4c8b49cac5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21</vt:i4>
      </vt:variant>
    </vt:vector>
  </HeadingPairs>
  <TitlesOfParts>
    <vt:vector size="21" baseType="lpstr">
      <vt:lpstr>Possible_Comps</vt:lpstr>
      <vt:lpstr>Selecting_Comps</vt:lpstr>
      <vt:lpstr>Financial Ratios </vt:lpstr>
      <vt:lpstr>Football Field Chart</vt:lpstr>
      <vt:lpstr>EXPE_Comps</vt:lpstr>
      <vt:lpstr>DCF</vt:lpstr>
      <vt:lpstr>Options Value</vt:lpstr>
      <vt:lpstr>Balance Sheet</vt:lpstr>
      <vt:lpstr>Income Statement</vt:lpstr>
      <vt:lpstr>Cash Flow</vt:lpstr>
      <vt:lpstr>Common Size Balance Sheet</vt:lpstr>
      <vt:lpstr>Common Size Income Statement</vt:lpstr>
      <vt:lpstr>Comparisons 2014-2018</vt:lpstr>
      <vt:lpstr>Comparisons 2018</vt:lpstr>
      <vt:lpstr>EXPE_LTM</vt:lpstr>
      <vt:lpstr>BKNG_LTM</vt:lpstr>
      <vt:lpstr>TRIP_LTM</vt:lpstr>
      <vt:lpstr>SABR_LTM</vt:lpstr>
      <vt:lpstr>MAR_LTM</vt:lpstr>
      <vt:lpstr>HLT_LTM</vt:lpstr>
      <vt:lpstr>TCOM_LTM</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Microsoft Office User</cp:lastModifiedBy>
  <cp:revision/>
  <dcterms:created xsi:type="dcterms:W3CDTF">2020-02-08T23:43:23Z</dcterms:created>
  <dcterms:modified xsi:type="dcterms:W3CDTF">2020-09-24T19:19:46Z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0x0101003D3DF52BC8DC844E80676FC447A25D17</vt:lpwstr>
  </property>
</Properties>
</file>